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TH!$R$10:$R$2369</definedName>
    <definedName name="_C112">TH!$U$10:$U$2369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TH!$A$9:$AE$2361</definedName>
    <definedName name="_xlnm._FilterDatabase" localSheetId="17" hidden="1">TK!$A$1:$J$1</definedName>
    <definedName name="_M">TH!$B$10:$B$2369</definedName>
    <definedName name="_N111">TH!$Q$10:$Q$2369</definedName>
    <definedName name="_N112">TH!$T$10:$T$2369</definedName>
    <definedName name="_TM1">IF('IN-TC'!$S$4=1,1,IF('IN-TC'!$S$4=2,4,IF('IN-TC'!$S$4=3,7,10)))</definedName>
    <definedName name="_TM2">IF('IN-TC'!$S$4=1,3,IF('IN-TC'!$S$4=2,6,IF('IN-TC'!$S$4=3,9,12)))</definedName>
    <definedName name="DG">TH!$J$10:$J$2369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'331'!$B$6:$B$24</definedName>
    <definedName name="DSKU">'341'!$B$4:$B$12</definedName>
    <definedName name="DSTK">CDPS!$A$10:$D$59</definedName>
    <definedName name="DSTS1">'SO-TS'!$D$14:$D$19</definedName>
    <definedName name="KH">TH!$H$10:$H$2369</definedName>
    <definedName name="KHC">TH!$M$10:$M$2369</definedName>
    <definedName name="KHN">TH!$L$10:$L$2369</definedName>
    <definedName name="Loai">OFFSET(TH!$N$5,,,COUNTA(TH!$N$5:$N$40788))</definedName>
    <definedName name="Loai1">OFFSET(TH!$P$5,,,COUNTA(TH!$P$5:$P$40788))</definedName>
    <definedName name="Loai10">OFFSET(TH!$O$5,,,COUNTA(TH!$O$5:$O$40585))</definedName>
    <definedName name="Loai2">OFFSET(TH!$S$5,,,COUNTA(TH!$S$5:$S$40788))</definedName>
    <definedName name="Loai3">OFFSET('SO-TS'!$P$14,,,COUNTA('SO-TS'!$P$14:$P$3891))</definedName>
    <definedName name="Loai4">OFFSET(TH!$V$5,,,COUNTA(TH!$V$5:$V$40788))</definedName>
    <definedName name="Loai5">OFFSET(TH!$W$5,,,COUNTA(TH!$W$5:$W$40788))</definedName>
    <definedName name="Loai6">OFFSET(TH!$AA$5,,,COUNTA(TH!$AA$5:$AA$40788))</definedName>
    <definedName name="Loai7">OFFSET(TH!$X$5,,,COUNTA(TH!$X$5:$X$40788))</definedName>
    <definedName name="Loai8">OFFSET(TH!$Y$5,,,COUNTA(TH!$Y$5:$Y$40788))</definedName>
    <definedName name="Loai9">OFFSET(TH!$Z$5,,,COUNTA(TH!$Z$5:$Z$40788))</definedName>
    <definedName name="MH">TH!$F$10:$F$2369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'331'!$A$1:$H$31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TH!$I$10:$I$2369</definedName>
    <definedName name="TH">TH!$K$10:$K$2369</definedName>
    <definedName name="TM">TH!$A$10:$M$2369</definedName>
  </definedNames>
  <calcPr calcId="144525"/>
</workbook>
</file>

<file path=xl/calcChain.xml><?xml version="1.0" encoding="utf-8"?>
<calcChain xmlns="http://schemas.openxmlformats.org/spreadsheetml/2006/main">
  <c r="K2179" i="34" l="1"/>
  <c r="K2180" i="34"/>
  <c r="AD2180" i="34" s="1"/>
  <c r="K2181" i="34"/>
  <c r="AD2181" i="34" s="1"/>
  <c r="K2182" i="34"/>
  <c r="AD2182" i="34" s="1"/>
  <c r="K2183" i="34"/>
  <c r="AD2183" i="34" s="1"/>
  <c r="K2184" i="34"/>
  <c r="K2185" i="34"/>
  <c r="K2186" i="34"/>
  <c r="K2187" i="34"/>
  <c r="K2188" i="34"/>
  <c r="K2189" i="34"/>
  <c r="O175" i="60"/>
  <c r="N16" i="34" l="1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Y1237" i="34"/>
  <c r="Z1237" i="34"/>
  <c r="N1238" i="34"/>
  <c r="O1238" i="34"/>
  <c r="Y1238" i="34"/>
  <c r="Z1238" i="34"/>
  <c r="N1239" i="34"/>
  <c r="O1239" i="34"/>
  <c r="Y1239" i="34"/>
  <c r="Z1239" i="34"/>
  <c r="N1240" i="34"/>
  <c r="O1240" i="34"/>
  <c r="Y1240" i="34"/>
  <c r="Z1240" i="34"/>
  <c r="N1241" i="34"/>
  <c r="O1241" i="34"/>
  <c r="Y1241" i="34"/>
  <c r="Z1241" i="34"/>
  <c r="N1242" i="34"/>
  <c r="O1242" i="34"/>
  <c r="Y1242" i="34"/>
  <c r="Z1242" i="34"/>
  <c r="N1243" i="34"/>
  <c r="O1243" i="34"/>
  <c r="Y1243" i="34"/>
  <c r="Z1243" i="34"/>
  <c r="N1244" i="34"/>
  <c r="O1244" i="34"/>
  <c r="Y1244" i="34"/>
  <c r="Z1244" i="34"/>
  <c r="N1245" i="34"/>
  <c r="O1245" i="34"/>
  <c r="Y1245" i="34"/>
  <c r="Z1245" i="34"/>
  <c r="N1246" i="34"/>
  <c r="O1246" i="34"/>
  <c r="Y1246" i="34"/>
  <c r="Z1246" i="34"/>
  <c r="N1247" i="34"/>
  <c r="O1247" i="34"/>
  <c r="Y1247" i="34"/>
  <c r="Z1247" i="34"/>
  <c r="N1248" i="34"/>
  <c r="O1248" i="34"/>
  <c r="Y1248" i="34"/>
  <c r="Z1248" i="34"/>
  <c r="N1249" i="34"/>
  <c r="O1249" i="34"/>
  <c r="Y1249" i="34"/>
  <c r="Z1249" i="34"/>
  <c r="N1250" i="34"/>
  <c r="O1250" i="34"/>
  <c r="Y1250" i="34"/>
  <c r="Z1250" i="34"/>
  <c r="N1251" i="34"/>
  <c r="O1251" i="34"/>
  <c r="Y1251" i="34"/>
  <c r="Z1251" i="34"/>
  <c r="N1252" i="34"/>
  <c r="O1252" i="34"/>
  <c r="Y1252" i="34"/>
  <c r="Z1252" i="34"/>
  <c r="N1253" i="34"/>
  <c r="O1253" i="34"/>
  <c r="Y1253" i="34"/>
  <c r="Z1253" i="34"/>
  <c r="N1254" i="34"/>
  <c r="O1254" i="34"/>
  <c r="Y1254" i="34"/>
  <c r="Z1254" i="34"/>
  <c r="N1255" i="34"/>
  <c r="O1255" i="34"/>
  <c r="Y1255" i="34"/>
  <c r="Z1255" i="34"/>
  <c r="N1256" i="34"/>
  <c r="O1256" i="34"/>
  <c r="Y1256" i="34"/>
  <c r="Z1256" i="34"/>
  <c r="N1257" i="34"/>
  <c r="O1257" i="34"/>
  <c r="Y1257" i="34"/>
  <c r="Z1257" i="34"/>
  <c r="N1258" i="34"/>
  <c r="O1258" i="34"/>
  <c r="Y1258" i="34"/>
  <c r="Z1258" i="34"/>
  <c r="N1259" i="34"/>
  <c r="O1259" i="34"/>
  <c r="Y1259" i="34"/>
  <c r="Z1259" i="34"/>
  <c r="N1260" i="34"/>
  <c r="O1260" i="34"/>
  <c r="Y1260" i="34"/>
  <c r="Z1260" i="34"/>
  <c r="N1261" i="34"/>
  <c r="O1261" i="34"/>
  <c r="Y1261" i="34"/>
  <c r="Z1261" i="34"/>
  <c r="N1262" i="34"/>
  <c r="O1262" i="34"/>
  <c r="Y1262" i="34"/>
  <c r="Z1262" i="34"/>
  <c r="N1263" i="34"/>
  <c r="O1263" i="34"/>
  <c r="Y1263" i="34"/>
  <c r="Z1263" i="34"/>
  <c r="N1264" i="34"/>
  <c r="O1264" i="34"/>
  <c r="Y1264" i="34"/>
  <c r="Z1264" i="34"/>
  <c r="N1265" i="34"/>
  <c r="O1265" i="34"/>
  <c r="Y1265" i="34"/>
  <c r="Z1265" i="34"/>
  <c r="N1266" i="34"/>
  <c r="O1266" i="34"/>
  <c r="Y1266" i="34"/>
  <c r="Z1266" i="34"/>
  <c r="N1267" i="34"/>
  <c r="O1267" i="34"/>
  <c r="Y1267" i="34"/>
  <c r="Z1267" i="34"/>
  <c r="N1268" i="34"/>
  <c r="O1268" i="34"/>
  <c r="Y1268" i="34"/>
  <c r="Z1268" i="34"/>
  <c r="N1269" i="34"/>
  <c r="O1269" i="34"/>
  <c r="Y1269" i="34"/>
  <c r="Z1269" i="34"/>
  <c r="N1270" i="34"/>
  <c r="O1270" i="34"/>
  <c r="Y1270" i="34"/>
  <c r="Z1270" i="34"/>
  <c r="N1271" i="34"/>
  <c r="O1271" i="34"/>
  <c r="Y1271" i="34"/>
  <c r="Z1271" i="34"/>
  <c r="N1272" i="34"/>
  <c r="O1272" i="34"/>
  <c r="Y1272" i="34"/>
  <c r="Z1272" i="34"/>
  <c r="N1273" i="34"/>
  <c r="O1273" i="34"/>
  <c r="Y1273" i="34"/>
  <c r="Z1273" i="34"/>
  <c r="N1274" i="34"/>
  <c r="O1274" i="34"/>
  <c r="Y1274" i="34"/>
  <c r="Z1274" i="34"/>
  <c r="N1275" i="34"/>
  <c r="O1275" i="34"/>
  <c r="Y1275" i="34"/>
  <c r="Z1275" i="34"/>
  <c r="N1276" i="34"/>
  <c r="O1276" i="34"/>
  <c r="Y1276" i="34"/>
  <c r="Z1276" i="34"/>
  <c r="N1277" i="34"/>
  <c r="O1277" i="34"/>
  <c r="Y1277" i="34"/>
  <c r="Z1277" i="34"/>
  <c r="N1278" i="34"/>
  <c r="O1278" i="34"/>
  <c r="Y1278" i="34"/>
  <c r="Z1278" i="34"/>
  <c r="N1279" i="34"/>
  <c r="O1279" i="34"/>
  <c r="Y1279" i="34"/>
  <c r="Z1279" i="34"/>
  <c r="N1280" i="34"/>
  <c r="O1280" i="34"/>
  <c r="Y1280" i="34"/>
  <c r="Z1280" i="34"/>
  <c r="N1281" i="34"/>
  <c r="O1281" i="34"/>
  <c r="Y1281" i="34"/>
  <c r="Z1281" i="34"/>
  <c r="N1282" i="34"/>
  <c r="O1282" i="34"/>
  <c r="Y1282" i="34"/>
  <c r="Z1282" i="34"/>
  <c r="N1283" i="34"/>
  <c r="O1283" i="34"/>
  <c r="Y1283" i="34"/>
  <c r="Z1283" i="34"/>
  <c r="N1284" i="34"/>
  <c r="O1284" i="34"/>
  <c r="Y1284" i="34"/>
  <c r="Z1284" i="34"/>
  <c r="N1285" i="34"/>
  <c r="O1285" i="34"/>
  <c r="Y1285" i="34"/>
  <c r="Z1285" i="34"/>
  <c r="N1286" i="34"/>
  <c r="O1286" i="34"/>
  <c r="Y1286" i="34"/>
  <c r="Z1286" i="34"/>
  <c r="N1287" i="34"/>
  <c r="O1287" i="34"/>
  <c r="Y1287" i="34"/>
  <c r="Z1287" i="34"/>
  <c r="N1288" i="34"/>
  <c r="O1288" i="34"/>
  <c r="Y1288" i="34"/>
  <c r="Z1288" i="34"/>
  <c r="N1289" i="34"/>
  <c r="O1289" i="34"/>
  <c r="Y1289" i="34"/>
  <c r="Z1289" i="34"/>
  <c r="N1290" i="34"/>
  <c r="O1290" i="34"/>
  <c r="Y1290" i="34"/>
  <c r="Z1290" i="34"/>
  <c r="N1291" i="34"/>
  <c r="O1291" i="34"/>
  <c r="Y1291" i="34"/>
  <c r="Z1291" i="34"/>
  <c r="N1292" i="34"/>
  <c r="O1292" i="34"/>
  <c r="Y1292" i="34"/>
  <c r="Z1292" i="34"/>
  <c r="N1293" i="34"/>
  <c r="O1293" i="34"/>
  <c r="Y1293" i="34"/>
  <c r="Z1293" i="34"/>
  <c r="N1294" i="34"/>
  <c r="O1294" i="34"/>
  <c r="Y1294" i="34"/>
  <c r="Z1294" i="34"/>
  <c r="N1295" i="34"/>
  <c r="O1295" i="34"/>
  <c r="Y1295" i="34"/>
  <c r="Z1295" i="34"/>
  <c r="N1296" i="34"/>
  <c r="O1296" i="34"/>
  <c r="Y1296" i="34"/>
  <c r="Z1296" i="34"/>
  <c r="N1297" i="34"/>
  <c r="O1297" i="34"/>
  <c r="Y1297" i="34"/>
  <c r="Z1297" i="34"/>
  <c r="N1298" i="34"/>
  <c r="O1298" i="34"/>
  <c r="Y1298" i="34"/>
  <c r="Z1298" i="34"/>
  <c r="N1299" i="34"/>
  <c r="O1299" i="34"/>
  <c r="Y1299" i="34"/>
  <c r="Z1299" i="34"/>
  <c r="N1300" i="34"/>
  <c r="O1300" i="34"/>
  <c r="Y1300" i="34"/>
  <c r="Z1300" i="34"/>
  <c r="N1301" i="34"/>
  <c r="O1301" i="34"/>
  <c r="Y1301" i="34"/>
  <c r="Z1301" i="34"/>
  <c r="N1302" i="34"/>
  <c r="O1302" i="34"/>
  <c r="Y1302" i="34"/>
  <c r="Z1302" i="34"/>
  <c r="N1303" i="34"/>
  <c r="O1303" i="34"/>
  <c r="Y1303" i="34"/>
  <c r="Z1303" i="34"/>
  <c r="N1304" i="34"/>
  <c r="O1304" i="34"/>
  <c r="Y1304" i="34"/>
  <c r="Z1304" i="34"/>
  <c r="N1305" i="34"/>
  <c r="O1305" i="34"/>
  <c r="Y1305" i="34"/>
  <c r="Z1305" i="34"/>
  <c r="N1306" i="34"/>
  <c r="O1306" i="34"/>
  <c r="Y1306" i="34"/>
  <c r="Z1306" i="34"/>
  <c r="N1307" i="34"/>
  <c r="O1307" i="34"/>
  <c r="Y1307" i="34"/>
  <c r="Z1307" i="34"/>
  <c r="N1308" i="34"/>
  <c r="O1308" i="34"/>
  <c r="Y1308" i="34"/>
  <c r="Z1308" i="34"/>
  <c r="N1309" i="34"/>
  <c r="O1309" i="34"/>
  <c r="Y1309" i="34"/>
  <c r="Z1309" i="34"/>
  <c r="N1310" i="34"/>
  <c r="O1310" i="34"/>
  <c r="Y1310" i="34"/>
  <c r="Z1310" i="34"/>
  <c r="N1311" i="34"/>
  <c r="O1311" i="34"/>
  <c r="Y1311" i="34"/>
  <c r="Z1311" i="34"/>
  <c r="N1312" i="34"/>
  <c r="O1312" i="34"/>
  <c r="Y1312" i="34"/>
  <c r="Z1312" i="34"/>
  <c r="N1313" i="34"/>
  <c r="O1313" i="34"/>
  <c r="Y1313" i="34"/>
  <c r="Z1313" i="34"/>
  <c r="N1314" i="34"/>
  <c r="O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K1740" i="34" l="1"/>
  <c r="K1741" i="34"/>
  <c r="K1742" i="34"/>
  <c r="K1743" i="34"/>
  <c r="K1744" i="34"/>
  <c r="K1745" i="34"/>
  <c r="K1746" i="34"/>
  <c r="K1739" i="34"/>
  <c r="Q165" i="60"/>
  <c r="Q166" i="60"/>
  <c r="N13" i="34" l="1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332" i="34"/>
  <c r="C1332" i="34"/>
  <c r="B1332" i="34" s="1"/>
  <c r="K1331" i="34"/>
  <c r="C1331" i="34"/>
  <c r="B1331" i="34" s="1"/>
  <c r="K1330" i="34"/>
  <c r="C1330" i="34"/>
  <c r="B1330" i="34" s="1"/>
  <c r="K1329" i="34"/>
  <c r="C1329" i="34"/>
  <c r="B1329" i="34" s="1"/>
  <c r="K1328" i="34"/>
  <c r="C1328" i="34"/>
  <c r="B1328" i="34" s="1"/>
  <c r="K1327" i="34"/>
  <c r="C1327" i="34"/>
  <c r="B1327" i="34" s="1"/>
  <c r="K1326" i="34"/>
  <c r="C1326" i="34"/>
  <c r="B1326" i="34" s="1"/>
  <c r="K1325" i="34"/>
  <c r="C1325" i="34"/>
  <c r="B1325" i="34" s="1"/>
  <c r="K1333" i="34"/>
  <c r="C1333" i="34"/>
  <c r="B1333" i="34" s="1"/>
  <c r="K1155" i="34"/>
  <c r="K1153" i="34"/>
  <c r="K1146" i="34"/>
  <c r="K1144" i="34"/>
  <c r="K1119" i="34"/>
  <c r="K1157" i="34"/>
  <c r="Q1325" i="34" l="1"/>
  <c r="R1325" i="34"/>
  <c r="V1325" i="34"/>
  <c r="AA1325" i="34"/>
  <c r="P1325" i="34"/>
  <c r="X1325" i="34"/>
  <c r="Q1329" i="34"/>
  <c r="R1329" i="34"/>
  <c r="V1329" i="34"/>
  <c r="AA1329" i="34"/>
  <c r="P1329" i="34"/>
  <c r="X1329" i="34"/>
  <c r="AA1333" i="34"/>
  <c r="P1333" i="34"/>
  <c r="X1333" i="34"/>
  <c r="Q1333" i="34"/>
  <c r="R1333" i="34"/>
  <c r="V1333" i="34"/>
  <c r="AA1326" i="34"/>
  <c r="P1326" i="34"/>
  <c r="X1326" i="34"/>
  <c r="Q1326" i="34"/>
  <c r="R1326" i="34"/>
  <c r="V1326" i="34"/>
  <c r="AA1328" i="34"/>
  <c r="P1328" i="34"/>
  <c r="X1328" i="34"/>
  <c r="Q1328" i="34"/>
  <c r="R1328" i="34"/>
  <c r="V1328" i="34"/>
  <c r="AA1330" i="34"/>
  <c r="P1330" i="34"/>
  <c r="X1330" i="34"/>
  <c r="Q1330" i="34"/>
  <c r="R1330" i="34"/>
  <c r="V1330" i="34"/>
  <c r="AA1332" i="34"/>
  <c r="P1332" i="34"/>
  <c r="X1332" i="34"/>
  <c r="Q1332" i="34"/>
  <c r="R1332" i="34"/>
  <c r="V1332" i="34"/>
  <c r="Q1327" i="34"/>
  <c r="R1327" i="34"/>
  <c r="V1327" i="34"/>
  <c r="AA1327" i="34"/>
  <c r="P1327" i="34"/>
  <c r="X1327" i="34"/>
  <c r="Q1331" i="34"/>
  <c r="R1331" i="34"/>
  <c r="V1331" i="34"/>
  <c r="AA1331" i="34"/>
  <c r="P1331" i="34"/>
  <c r="X1331" i="34"/>
  <c r="A1325" i="34"/>
  <c r="A1329" i="34"/>
  <c r="A1331" i="34"/>
  <c r="A1333" i="34"/>
  <c r="A1327" i="34"/>
  <c r="A1332" i="34"/>
  <c r="A1330" i="34"/>
  <c r="A1328" i="34"/>
  <c r="A1326" i="34"/>
  <c r="Q182" i="60" l="1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352" i="34"/>
  <c r="C1352" i="34"/>
  <c r="B1352" i="34" s="1"/>
  <c r="R25" i="80"/>
  <c r="R26" i="80"/>
  <c r="R27" i="80"/>
  <c r="K1349" i="34"/>
  <c r="C1349" i="34"/>
  <c r="B1349" i="34" s="1"/>
  <c r="K1348" i="34"/>
  <c r="C1348" i="34"/>
  <c r="B1348" i="34" s="1"/>
  <c r="K1347" i="34"/>
  <c r="C1347" i="34"/>
  <c r="B1347" i="34" s="1"/>
  <c r="R22" i="80"/>
  <c r="R23" i="80"/>
  <c r="R12" i="80"/>
  <c r="R13" i="80"/>
  <c r="R8" i="80"/>
  <c r="R9" i="80"/>
  <c r="Q1348" i="34" l="1"/>
  <c r="R1348" i="34"/>
  <c r="V1348" i="34"/>
  <c r="AA1348" i="34"/>
  <c r="P1348" i="34"/>
  <c r="X1348" i="34"/>
  <c r="AA1347" i="34"/>
  <c r="P1347" i="34"/>
  <c r="X1347" i="34"/>
  <c r="Q1347" i="34"/>
  <c r="R1347" i="34"/>
  <c r="V1347" i="34"/>
  <c r="AA1349" i="34"/>
  <c r="P1349" i="34"/>
  <c r="X1349" i="34"/>
  <c r="Q1349" i="34"/>
  <c r="R1349" i="34"/>
  <c r="V1349" i="34"/>
  <c r="Q1352" i="34"/>
  <c r="R1352" i="34"/>
  <c r="V1352" i="34"/>
  <c r="AA1352" i="34"/>
  <c r="P1352" i="34"/>
  <c r="X1352" i="34"/>
  <c r="A1352" i="34"/>
  <c r="A1347" i="34"/>
  <c r="A1349" i="34"/>
  <c r="A1348" i="34"/>
  <c r="K1915" i="34" l="1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1914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1914" i="34"/>
  <c r="C1915" i="34"/>
  <c r="K1908" i="34"/>
  <c r="K1909" i="34"/>
  <c r="K1910" i="34"/>
  <c r="K1911" i="34"/>
  <c r="K1912" i="34"/>
  <c r="K1913" i="34"/>
  <c r="C1908" i="34"/>
  <c r="C1909" i="34"/>
  <c r="C1910" i="34"/>
  <c r="C1911" i="34"/>
  <c r="C1912" i="34"/>
  <c r="C1913" i="34"/>
  <c r="C1738" i="34"/>
  <c r="K1738" i="34"/>
  <c r="C1739" i="34"/>
  <c r="C1740" i="34"/>
  <c r="C1741" i="34"/>
  <c r="C1742" i="34"/>
  <c r="C1743" i="34"/>
  <c r="C1744" i="34"/>
  <c r="C1745" i="34"/>
  <c r="C1746" i="34"/>
  <c r="C1747" i="34"/>
  <c r="K1747" i="34"/>
  <c r="C1748" i="34"/>
  <c r="K1748" i="34"/>
  <c r="C1749" i="34"/>
  <c r="K1749" i="34"/>
  <c r="C1750" i="34"/>
  <c r="K1750" i="34"/>
  <c r="C1751" i="34"/>
  <c r="K1751" i="34"/>
  <c r="C1752" i="34"/>
  <c r="K1752" i="34"/>
  <c r="C1753" i="34"/>
  <c r="K1753" i="34"/>
  <c r="C1754" i="34"/>
  <c r="K1754" i="34"/>
  <c r="C1755" i="34"/>
  <c r="K1755" i="34"/>
  <c r="C1756" i="34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C1850" i="34"/>
  <c r="K1850" i="34"/>
  <c r="C1851" i="34"/>
  <c r="K1851" i="34"/>
  <c r="C1852" i="34"/>
  <c r="K1852" i="34"/>
  <c r="C1853" i="34"/>
  <c r="K1853" i="34"/>
  <c r="C1854" i="34"/>
  <c r="K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475" i="34"/>
  <c r="K1475" i="34"/>
  <c r="C1476" i="34"/>
  <c r="B1476" i="34" s="1"/>
  <c r="K1476" i="34"/>
  <c r="C1477" i="34"/>
  <c r="K1477" i="34"/>
  <c r="C1478" i="34"/>
  <c r="B1478" i="34" s="1"/>
  <c r="K1478" i="34"/>
  <c r="C1479" i="34"/>
  <c r="K1479" i="34"/>
  <c r="C1480" i="34"/>
  <c r="B1480" i="34" s="1"/>
  <c r="K1480" i="34"/>
  <c r="C1481" i="34"/>
  <c r="K1481" i="34"/>
  <c r="C1482" i="34"/>
  <c r="B1482" i="34" s="1"/>
  <c r="K1482" i="34"/>
  <c r="C1483" i="34"/>
  <c r="K1483" i="34"/>
  <c r="C1484" i="34"/>
  <c r="B1484" i="34" s="1"/>
  <c r="K1484" i="34"/>
  <c r="C1485" i="34"/>
  <c r="K1485" i="34"/>
  <c r="C1486" i="34"/>
  <c r="B1486" i="34" s="1"/>
  <c r="K1486" i="34"/>
  <c r="C1487" i="34"/>
  <c r="K1487" i="34"/>
  <c r="C1488" i="34"/>
  <c r="B1488" i="34" s="1"/>
  <c r="K1488" i="34"/>
  <c r="C1489" i="34"/>
  <c r="K1489" i="34"/>
  <c r="C1490" i="34"/>
  <c r="B1490" i="34" s="1"/>
  <c r="K1490" i="34"/>
  <c r="C1491" i="34"/>
  <c r="K1491" i="34"/>
  <c r="C1492" i="34"/>
  <c r="B1492" i="34" s="1"/>
  <c r="K1492" i="34"/>
  <c r="C1493" i="34"/>
  <c r="K1493" i="34"/>
  <c r="C1494" i="34"/>
  <c r="B1494" i="34" s="1"/>
  <c r="K1494" i="34"/>
  <c r="C1495" i="34"/>
  <c r="K1495" i="34"/>
  <c r="C1496" i="34"/>
  <c r="B1496" i="34" s="1"/>
  <c r="K1496" i="34"/>
  <c r="C1497" i="34"/>
  <c r="K1497" i="34"/>
  <c r="C1498" i="34"/>
  <c r="B1498" i="34" s="1"/>
  <c r="K1498" i="34"/>
  <c r="C1499" i="34"/>
  <c r="K1499" i="34"/>
  <c r="C1500" i="34"/>
  <c r="B1500" i="34" s="1"/>
  <c r="K1500" i="34"/>
  <c r="C1501" i="34"/>
  <c r="K1501" i="34"/>
  <c r="C1502" i="34"/>
  <c r="B1502" i="34" s="1"/>
  <c r="K1502" i="34"/>
  <c r="C1503" i="34"/>
  <c r="K1503" i="34"/>
  <c r="C1504" i="34"/>
  <c r="B1504" i="34" s="1"/>
  <c r="K1504" i="34"/>
  <c r="C1505" i="34"/>
  <c r="K1505" i="34"/>
  <c r="C1506" i="34"/>
  <c r="B1506" i="34" s="1"/>
  <c r="K1506" i="34"/>
  <c r="C1507" i="34"/>
  <c r="K1507" i="34"/>
  <c r="C1508" i="34"/>
  <c r="B1508" i="34" s="1"/>
  <c r="K1508" i="34"/>
  <c r="C1509" i="34"/>
  <c r="K1509" i="34"/>
  <c r="C1510" i="34"/>
  <c r="B1510" i="34" s="1"/>
  <c r="K1510" i="34"/>
  <c r="C1511" i="34"/>
  <c r="K1511" i="34"/>
  <c r="C1512" i="34"/>
  <c r="B1512" i="34" s="1"/>
  <c r="K1512" i="34"/>
  <c r="C1513" i="34"/>
  <c r="K1513" i="34"/>
  <c r="C1514" i="34"/>
  <c r="B1514" i="34" s="1"/>
  <c r="K1514" i="34"/>
  <c r="C1515" i="34"/>
  <c r="K1515" i="34"/>
  <c r="C1516" i="34"/>
  <c r="B1516" i="34" s="1"/>
  <c r="K1516" i="34"/>
  <c r="C1517" i="34"/>
  <c r="K1517" i="34"/>
  <c r="C1518" i="34"/>
  <c r="B1518" i="34" s="1"/>
  <c r="K1518" i="34"/>
  <c r="C1519" i="34"/>
  <c r="K1519" i="34"/>
  <c r="C1520" i="34"/>
  <c r="B1520" i="34" s="1"/>
  <c r="K1520" i="34"/>
  <c r="C1521" i="34"/>
  <c r="K1521" i="34"/>
  <c r="C1522" i="34"/>
  <c r="B1522" i="34" s="1"/>
  <c r="K1522" i="34"/>
  <c r="C1523" i="34"/>
  <c r="K1523" i="34"/>
  <c r="C1524" i="34"/>
  <c r="B1524" i="34" s="1"/>
  <c r="K1524" i="34"/>
  <c r="C1525" i="34"/>
  <c r="K1525" i="34"/>
  <c r="C1526" i="34"/>
  <c r="B1526" i="34" s="1"/>
  <c r="K1526" i="34"/>
  <c r="C1527" i="34"/>
  <c r="K1527" i="34"/>
  <c r="C1528" i="34"/>
  <c r="B1528" i="34" s="1"/>
  <c r="K1528" i="34"/>
  <c r="C1529" i="34"/>
  <c r="K1529" i="34"/>
  <c r="C1530" i="34"/>
  <c r="B1530" i="34" s="1"/>
  <c r="K1530" i="34"/>
  <c r="C1531" i="34"/>
  <c r="K1531" i="34"/>
  <c r="C1532" i="34"/>
  <c r="B1532" i="34" s="1"/>
  <c r="K1532" i="34"/>
  <c r="C1533" i="34"/>
  <c r="K1533" i="34"/>
  <c r="C1534" i="34"/>
  <c r="B1534" i="34" s="1"/>
  <c r="K1534" i="34"/>
  <c r="C1535" i="34"/>
  <c r="K1535" i="34"/>
  <c r="C1536" i="34"/>
  <c r="B1536" i="34" s="1"/>
  <c r="K1536" i="34"/>
  <c r="C1537" i="34"/>
  <c r="K1537" i="34"/>
  <c r="C1538" i="34"/>
  <c r="B1538" i="34" s="1"/>
  <c r="K1538" i="34"/>
  <c r="C1539" i="34"/>
  <c r="K1539" i="34"/>
  <c r="C1540" i="34"/>
  <c r="B1540" i="34" s="1"/>
  <c r="K1540" i="34"/>
  <c r="C1541" i="34"/>
  <c r="K1541" i="34"/>
  <c r="C1542" i="34"/>
  <c r="B1542" i="34" s="1"/>
  <c r="K1542" i="34"/>
  <c r="C1543" i="34"/>
  <c r="K1543" i="34"/>
  <c r="C1544" i="34"/>
  <c r="B1544" i="34" s="1"/>
  <c r="K1544" i="34"/>
  <c r="C1545" i="34"/>
  <c r="K1545" i="34"/>
  <c r="C1546" i="34"/>
  <c r="B1546" i="34" s="1"/>
  <c r="K1546" i="34"/>
  <c r="C1547" i="34"/>
  <c r="K1547" i="34"/>
  <c r="C1548" i="34"/>
  <c r="B1548" i="34" s="1"/>
  <c r="K1548" i="34"/>
  <c r="C1549" i="34"/>
  <c r="K1549" i="34"/>
  <c r="C1550" i="34"/>
  <c r="B1550" i="34" s="1"/>
  <c r="K1550" i="34"/>
  <c r="C1551" i="34"/>
  <c r="K1551" i="34"/>
  <c r="C1552" i="34"/>
  <c r="B1552" i="34" s="1"/>
  <c r="K1552" i="34"/>
  <c r="C1553" i="34"/>
  <c r="K1553" i="34"/>
  <c r="C1554" i="34"/>
  <c r="B1554" i="34" s="1"/>
  <c r="K1554" i="34"/>
  <c r="C1555" i="34"/>
  <c r="K1555" i="34"/>
  <c r="C1556" i="34"/>
  <c r="B1556" i="34" s="1"/>
  <c r="K1556" i="34"/>
  <c r="C1557" i="34"/>
  <c r="K1557" i="34"/>
  <c r="C1558" i="34"/>
  <c r="B1558" i="34" s="1"/>
  <c r="K1558" i="34"/>
  <c r="C1559" i="34"/>
  <c r="K1559" i="34"/>
  <c r="C1560" i="34"/>
  <c r="B1560" i="34" s="1"/>
  <c r="K1560" i="34"/>
  <c r="C1561" i="34"/>
  <c r="K1561" i="34"/>
  <c r="C1562" i="34"/>
  <c r="B1562" i="34" s="1"/>
  <c r="K1562" i="34"/>
  <c r="C1563" i="34"/>
  <c r="K1563" i="34"/>
  <c r="C1564" i="34"/>
  <c r="B1564" i="34" s="1"/>
  <c r="K1564" i="34"/>
  <c r="C1565" i="34"/>
  <c r="K1565" i="34"/>
  <c r="C1566" i="34"/>
  <c r="B1566" i="34" s="1"/>
  <c r="K1566" i="34"/>
  <c r="C1567" i="34"/>
  <c r="K1567" i="34"/>
  <c r="C1568" i="34"/>
  <c r="B1568" i="34" s="1"/>
  <c r="K1568" i="34"/>
  <c r="C1569" i="34"/>
  <c r="K1569" i="34"/>
  <c r="C1570" i="34"/>
  <c r="B1570" i="34" s="1"/>
  <c r="K1570" i="34"/>
  <c r="C1571" i="34"/>
  <c r="K1571" i="34"/>
  <c r="C1572" i="34"/>
  <c r="B1572" i="34" s="1"/>
  <c r="K1572" i="34"/>
  <c r="C1573" i="34"/>
  <c r="K1573" i="34"/>
  <c r="C1574" i="34"/>
  <c r="B1574" i="34" s="1"/>
  <c r="K1574" i="34"/>
  <c r="C1575" i="34"/>
  <c r="K1575" i="34"/>
  <c r="C1576" i="34"/>
  <c r="B1576" i="34" s="1"/>
  <c r="K1576" i="34"/>
  <c r="C1577" i="34"/>
  <c r="K1577" i="34"/>
  <c r="C1578" i="34"/>
  <c r="B1578" i="34" s="1"/>
  <c r="K1578" i="34"/>
  <c r="C1579" i="34"/>
  <c r="K1579" i="34"/>
  <c r="C1580" i="34"/>
  <c r="B1580" i="34" s="1"/>
  <c r="K1580" i="34"/>
  <c r="C1581" i="34"/>
  <c r="K1581" i="34"/>
  <c r="C1582" i="34"/>
  <c r="B1582" i="34" s="1"/>
  <c r="K1582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K1650" i="34"/>
  <c r="C1651" i="34"/>
  <c r="K1651" i="34"/>
  <c r="C1652" i="34"/>
  <c r="K1652" i="34"/>
  <c r="C1653" i="34"/>
  <c r="K1653" i="34"/>
  <c r="C1654" i="34"/>
  <c r="K1654" i="34"/>
  <c r="C1655" i="34"/>
  <c r="K1655" i="34"/>
  <c r="C1656" i="34"/>
  <c r="K1656" i="34"/>
  <c r="C1657" i="34"/>
  <c r="K1657" i="34"/>
  <c r="C1658" i="34"/>
  <c r="K1658" i="34"/>
  <c r="C1659" i="34"/>
  <c r="K1659" i="34"/>
  <c r="C1660" i="34"/>
  <c r="K1660" i="34"/>
  <c r="C1661" i="34"/>
  <c r="K1661" i="34"/>
  <c r="C1662" i="34"/>
  <c r="K1662" i="34"/>
  <c r="C1663" i="34"/>
  <c r="K1663" i="34"/>
  <c r="C1664" i="34"/>
  <c r="K1664" i="34"/>
  <c r="C1665" i="34"/>
  <c r="K1665" i="34"/>
  <c r="C1666" i="34"/>
  <c r="K1666" i="34"/>
  <c r="C1667" i="34"/>
  <c r="K1667" i="34"/>
  <c r="C1668" i="34"/>
  <c r="K1668" i="34"/>
  <c r="C1669" i="34"/>
  <c r="K1669" i="34"/>
  <c r="C1670" i="34"/>
  <c r="K1670" i="34"/>
  <c r="C1671" i="34"/>
  <c r="K1671" i="34"/>
  <c r="C1672" i="34"/>
  <c r="K1672" i="34"/>
  <c r="C1673" i="34"/>
  <c r="K1673" i="34"/>
  <c r="C1674" i="34"/>
  <c r="K1674" i="34"/>
  <c r="C1675" i="34"/>
  <c r="K1675" i="34"/>
  <c r="C1676" i="34"/>
  <c r="K1676" i="34"/>
  <c r="C1677" i="34"/>
  <c r="K1677" i="34"/>
  <c r="C1678" i="34"/>
  <c r="K1678" i="34"/>
  <c r="C1679" i="34"/>
  <c r="K1679" i="34"/>
  <c r="C1680" i="34"/>
  <c r="K1680" i="34"/>
  <c r="C1681" i="34"/>
  <c r="K1681" i="34"/>
  <c r="C1682" i="34"/>
  <c r="K1682" i="34"/>
  <c r="C1683" i="34"/>
  <c r="K1683" i="34"/>
  <c r="C1684" i="34"/>
  <c r="K1684" i="34"/>
  <c r="C1685" i="34"/>
  <c r="K1685" i="34"/>
  <c r="C1686" i="34"/>
  <c r="K1686" i="34"/>
  <c r="C1687" i="34"/>
  <c r="K1687" i="34"/>
  <c r="C1688" i="34"/>
  <c r="K1688" i="34"/>
  <c r="C1689" i="34"/>
  <c r="K1689" i="34"/>
  <c r="C1690" i="34"/>
  <c r="K1690" i="34"/>
  <c r="C1691" i="34"/>
  <c r="K1691" i="34"/>
  <c r="C1692" i="34"/>
  <c r="K1692" i="34"/>
  <c r="C1693" i="34"/>
  <c r="K1693" i="34"/>
  <c r="C1694" i="34"/>
  <c r="K1694" i="34"/>
  <c r="C1695" i="34"/>
  <c r="K1695" i="34"/>
  <c r="C1696" i="34"/>
  <c r="K1696" i="34"/>
  <c r="C1697" i="34"/>
  <c r="K1697" i="34"/>
  <c r="C1698" i="34"/>
  <c r="K1698" i="34"/>
  <c r="C1699" i="34"/>
  <c r="K1699" i="34"/>
  <c r="C1700" i="34"/>
  <c r="K1700" i="34"/>
  <c r="C1701" i="34"/>
  <c r="K1701" i="34"/>
  <c r="C1702" i="34"/>
  <c r="K1702" i="34"/>
  <c r="C1703" i="34"/>
  <c r="K1703" i="34"/>
  <c r="C1704" i="34"/>
  <c r="K1704" i="34"/>
  <c r="C1705" i="34"/>
  <c r="K1705" i="34"/>
  <c r="C1706" i="34"/>
  <c r="K1706" i="34"/>
  <c r="C1707" i="34"/>
  <c r="K1707" i="34"/>
  <c r="C1708" i="34"/>
  <c r="K1708" i="34"/>
  <c r="C1709" i="34"/>
  <c r="K1709" i="34"/>
  <c r="C1710" i="34"/>
  <c r="K1710" i="34"/>
  <c r="C1711" i="34"/>
  <c r="K1711" i="34"/>
  <c r="C1712" i="34"/>
  <c r="K1712" i="34"/>
  <c r="C1713" i="34"/>
  <c r="K1713" i="34"/>
  <c r="C1714" i="34"/>
  <c r="K1714" i="34"/>
  <c r="C1715" i="34"/>
  <c r="K1715" i="34"/>
  <c r="C1716" i="34"/>
  <c r="K1716" i="34"/>
  <c r="C1717" i="34"/>
  <c r="K1717" i="34"/>
  <c r="C1718" i="34"/>
  <c r="K1718" i="34"/>
  <c r="C1719" i="34"/>
  <c r="K1719" i="34"/>
  <c r="C1720" i="34"/>
  <c r="K1720" i="34"/>
  <c r="C1721" i="34"/>
  <c r="K1721" i="34"/>
  <c r="C1722" i="34"/>
  <c r="K1722" i="34"/>
  <c r="C1723" i="34"/>
  <c r="K1723" i="34"/>
  <c r="C1724" i="34"/>
  <c r="K1724" i="34"/>
  <c r="C1725" i="34"/>
  <c r="K1725" i="34"/>
  <c r="C1726" i="34"/>
  <c r="K1726" i="34"/>
  <c r="C1727" i="34"/>
  <c r="K1727" i="34"/>
  <c r="C1728" i="34"/>
  <c r="K1728" i="34"/>
  <c r="C1729" i="34"/>
  <c r="K1729" i="34"/>
  <c r="C1730" i="34"/>
  <c r="K1730" i="34"/>
  <c r="C1731" i="34"/>
  <c r="K1731" i="34"/>
  <c r="C1732" i="34"/>
  <c r="K1732" i="34"/>
  <c r="C1733" i="34"/>
  <c r="K1733" i="34"/>
  <c r="C1734" i="34"/>
  <c r="K1734" i="34"/>
  <c r="C1735" i="34"/>
  <c r="K1735" i="34"/>
  <c r="C1736" i="34"/>
  <c r="K1736" i="34"/>
  <c r="C1737" i="34"/>
  <c r="K1737" i="34"/>
  <c r="K1474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337" i="34"/>
  <c r="B1337" i="34" s="1"/>
  <c r="K1337" i="34"/>
  <c r="C1338" i="34"/>
  <c r="B1338" i="34" s="1"/>
  <c r="K1338" i="34"/>
  <c r="C1339" i="34"/>
  <c r="B1339" i="34" s="1"/>
  <c r="K1339" i="34"/>
  <c r="C1340" i="34"/>
  <c r="B1340" i="34" s="1"/>
  <c r="K1340" i="34"/>
  <c r="C1341" i="34"/>
  <c r="B1341" i="34" s="1"/>
  <c r="K1341" i="34"/>
  <c r="C1342" i="34"/>
  <c r="B1342" i="34" s="1"/>
  <c r="K1342" i="34"/>
  <c r="C1343" i="34"/>
  <c r="B1343" i="34" s="1"/>
  <c r="K1343" i="34"/>
  <c r="C1344" i="34"/>
  <c r="B1344" i="34" s="1"/>
  <c r="K1344" i="34"/>
  <c r="C1345" i="34"/>
  <c r="B1345" i="34" s="1"/>
  <c r="K1345" i="34"/>
  <c r="C1346" i="34"/>
  <c r="B1346" i="34" s="1"/>
  <c r="K1346" i="34"/>
  <c r="C1350" i="34"/>
  <c r="B1350" i="34" s="1"/>
  <c r="K1350" i="34"/>
  <c r="C1351" i="34"/>
  <c r="B1351" i="34" s="1"/>
  <c r="K1351" i="34"/>
  <c r="C1353" i="34"/>
  <c r="B1353" i="34" s="1"/>
  <c r="K1353" i="34"/>
  <c r="C1354" i="34"/>
  <c r="B1354" i="34" s="1"/>
  <c r="K1354" i="34"/>
  <c r="C1355" i="34"/>
  <c r="B1355" i="34" s="1"/>
  <c r="K1355" i="34"/>
  <c r="C1356" i="34"/>
  <c r="B1356" i="34" s="1"/>
  <c r="K1356" i="34"/>
  <c r="C1357" i="34"/>
  <c r="B1357" i="34" s="1"/>
  <c r="K1357" i="34"/>
  <c r="C1358" i="34"/>
  <c r="B1358" i="34" s="1"/>
  <c r="K1358" i="34"/>
  <c r="C1359" i="34"/>
  <c r="B1359" i="34" s="1"/>
  <c r="K1359" i="34"/>
  <c r="C1360" i="34"/>
  <c r="B1360" i="34" s="1"/>
  <c r="K1360" i="34"/>
  <c r="C1361" i="34"/>
  <c r="B1361" i="34" s="1"/>
  <c r="K1361" i="34"/>
  <c r="C1362" i="34"/>
  <c r="B1362" i="34" s="1"/>
  <c r="K1362" i="34"/>
  <c r="C1363" i="34"/>
  <c r="B1363" i="34" s="1"/>
  <c r="K1363" i="34"/>
  <c r="C1364" i="34"/>
  <c r="B1364" i="34" s="1"/>
  <c r="K1364" i="34"/>
  <c r="C1365" i="34"/>
  <c r="B1365" i="34" s="1"/>
  <c r="K1365" i="34"/>
  <c r="C1366" i="34"/>
  <c r="B1366" i="34" s="1"/>
  <c r="K1366" i="34"/>
  <c r="C1367" i="34"/>
  <c r="B1367" i="34" s="1"/>
  <c r="K1367" i="34"/>
  <c r="C1368" i="34"/>
  <c r="B1368" i="34" s="1"/>
  <c r="K1368" i="34"/>
  <c r="C1369" i="34"/>
  <c r="B1369" i="34" s="1"/>
  <c r="K1369" i="34"/>
  <c r="C1370" i="34"/>
  <c r="B1370" i="34" s="1"/>
  <c r="K1370" i="34"/>
  <c r="C1371" i="34"/>
  <c r="B1371" i="34" s="1"/>
  <c r="K1371" i="34"/>
  <c r="C1372" i="34"/>
  <c r="B1372" i="34" s="1"/>
  <c r="K1372" i="34"/>
  <c r="C1373" i="34"/>
  <c r="B1373" i="34" s="1"/>
  <c r="K1373" i="34"/>
  <c r="C1374" i="34"/>
  <c r="B1374" i="34" s="1"/>
  <c r="K1374" i="34"/>
  <c r="C1375" i="34"/>
  <c r="B1375" i="34" s="1"/>
  <c r="K1375" i="34"/>
  <c r="C1376" i="34"/>
  <c r="B1376" i="34" s="1"/>
  <c r="K1376" i="34"/>
  <c r="C1377" i="34"/>
  <c r="B1377" i="34" s="1"/>
  <c r="K1377" i="34"/>
  <c r="C1378" i="34"/>
  <c r="B1378" i="34" s="1"/>
  <c r="K1378" i="34"/>
  <c r="C1379" i="34"/>
  <c r="B1379" i="34" s="1"/>
  <c r="K1379" i="34"/>
  <c r="C1380" i="34"/>
  <c r="B1380" i="34" s="1"/>
  <c r="K1380" i="34"/>
  <c r="C1381" i="34"/>
  <c r="B1381" i="34" s="1"/>
  <c r="K1381" i="34"/>
  <c r="C1382" i="34"/>
  <c r="B1382" i="34" s="1"/>
  <c r="K1382" i="34"/>
  <c r="C1383" i="34"/>
  <c r="B1383" i="34" s="1"/>
  <c r="K1383" i="34"/>
  <c r="C1384" i="34"/>
  <c r="B1384" i="34" s="1"/>
  <c r="K1384" i="34"/>
  <c r="C1385" i="34"/>
  <c r="B1385" i="34" s="1"/>
  <c r="K1385" i="34"/>
  <c r="C1386" i="34"/>
  <c r="B1386" i="34" s="1"/>
  <c r="K1386" i="34"/>
  <c r="C1387" i="34"/>
  <c r="B1387" i="34" s="1"/>
  <c r="K1387" i="34"/>
  <c r="C1388" i="34"/>
  <c r="B1388" i="34" s="1"/>
  <c r="K1388" i="34"/>
  <c r="C1389" i="34"/>
  <c r="B1389" i="34" s="1"/>
  <c r="K1389" i="34"/>
  <c r="C1390" i="34"/>
  <c r="B1390" i="34" s="1"/>
  <c r="K1390" i="34"/>
  <c r="C1391" i="34"/>
  <c r="B1391" i="34" s="1"/>
  <c r="K1391" i="34"/>
  <c r="C1392" i="34"/>
  <c r="B1392" i="34" s="1"/>
  <c r="K1392" i="34"/>
  <c r="C1393" i="34"/>
  <c r="B1393" i="34" s="1"/>
  <c r="K1393" i="34"/>
  <c r="C1394" i="34"/>
  <c r="B1394" i="34" s="1"/>
  <c r="K1394" i="34"/>
  <c r="C1395" i="34"/>
  <c r="B1395" i="34" s="1"/>
  <c r="K1395" i="34"/>
  <c r="C1396" i="34"/>
  <c r="B1396" i="34" s="1"/>
  <c r="K1396" i="34"/>
  <c r="C1397" i="34"/>
  <c r="B1397" i="34" s="1"/>
  <c r="K1397" i="34"/>
  <c r="C1398" i="34"/>
  <c r="B1398" i="34" s="1"/>
  <c r="K1398" i="34"/>
  <c r="C1399" i="34"/>
  <c r="B1399" i="34" s="1"/>
  <c r="K1399" i="34"/>
  <c r="C1400" i="34"/>
  <c r="B1400" i="34" s="1"/>
  <c r="K1400" i="34"/>
  <c r="C1401" i="34"/>
  <c r="B1401" i="34" s="1"/>
  <c r="K1401" i="34"/>
  <c r="C1402" i="34"/>
  <c r="B1402" i="34" s="1"/>
  <c r="K1402" i="34"/>
  <c r="C1403" i="34"/>
  <c r="B1403" i="34" s="1"/>
  <c r="K1403" i="34"/>
  <c r="C1404" i="34"/>
  <c r="B1404" i="34" s="1"/>
  <c r="K1404" i="34"/>
  <c r="C1405" i="34"/>
  <c r="B1405" i="34" s="1"/>
  <c r="K1405" i="34"/>
  <c r="C1406" i="34"/>
  <c r="B1406" i="34" s="1"/>
  <c r="K1406" i="34"/>
  <c r="C1407" i="34"/>
  <c r="B1407" i="34" s="1"/>
  <c r="K1407" i="34"/>
  <c r="C1408" i="34"/>
  <c r="B1408" i="34" s="1"/>
  <c r="K1408" i="34"/>
  <c r="C1409" i="34"/>
  <c r="B1409" i="34" s="1"/>
  <c r="K1409" i="34"/>
  <c r="C1410" i="34"/>
  <c r="B1410" i="34" s="1"/>
  <c r="K1410" i="34"/>
  <c r="C1411" i="34"/>
  <c r="B1411" i="34" s="1"/>
  <c r="K1411" i="34"/>
  <c r="C1412" i="34"/>
  <c r="B1412" i="34" s="1"/>
  <c r="K1412" i="34"/>
  <c r="C1413" i="34"/>
  <c r="B1413" i="34" s="1"/>
  <c r="K1413" i="34"/>
  <c r="C1414" i="34"/>
  <c r="B1414" i="34" s="1"/>
  <c r="K1414" i="34"/>
  <c r="C1415" i="34"/>
  <c r="B1415" i="34" s="1"/>
  <c r="K1415" i="34"/>
  <c r="C1416" i="34"/>
  <c r="B1416" i="34" s="1"/>
  <c r="K1416" i="34"/>
  <c r="C1417" i="34"/>
  <c r="B1417" i="34" s="1"/>
  <c r="K1417" i="34"/>
  <c r="C1418" i="34"/>
  <c r="B1418" i="34" s="1"/>
  <c r="K1418" i="34"/>
  <c r="C1419" i="34"/>
  <c r="B1419" i="34" s="1"/>
  <c r="K1419" i="34"/>
  <c r="C1420" i="34"/>
  <c r="B1420" i="34" s="1"/>
  <c r="K1420" i="34"/>
  <c r="C1421" i="34"/>
  <c r="B1421" i="34" s="1"/>
  <c r="K1421" i="34"/>
  <c r="C1422" i="34"/>
  <c r="B1422" i="34" s="1"/>
  <c r="K1422" i="34"/>
  <c r="C1423" i="34"/>
  <c r="B1423" i="34" s="1"/>
  <c r="K1423" i="34"/>
  <c r="C1424" i="34"/>
  <c r="B1424" i="34" s="1"/>
  <c r="K1424" i="34"/>
  <c r="C1425" i="34"/>
  <c r="B1425" i="34" s="1"/>
  <c r="K1425" i="34"/>
  <c r="C1426" i="34"/>
  <c r="B1426" i="34" s="1"/>
  <c r="K1426" i="34"/>
  <c r="C1427" i="34"/>
  <c r="B1427" i="34" s="1"/>
  <c r="K1427" i="34"/>
  <c r="C1428" i="34"/>
  <c r="B1428" i="34" s="1"/>
  <c r="K1428" i="34"/>
  <c r="C1429" i="34"/>
  <c r="B1429" i="34" s="1"/>
  <c r="K1429" i="34"/>
  <c r="C1430" i="34"/>
  <c r="B1430" i="34" s="1"/>
  <c r="K1430" i="34"/>
  <c r="C1431" i="34"/>
  <c r="B1431" i="34" s="1"/>
  <c r="K1431" i="34"/>
  <c r="C1432" i="34"/>
  <c r="B1432" i="34" s="1"/>
  <c r="K1432" i="34"/>
  <c r="C1433" i="34"/>
  <c r="B1433" i="34" s="1"/>
  <c r="K1433" i="34"/>
  <c r="C1434" i="34"/>
  <c r="B1434" i="34" s="1"/>
  <c r="K1434" i="34"/>
  <c r="C1435" i="34"/>
  <c r="B1435" i="34" s="1"/>
  <c r="K1435" i="34"/>
  <c r="C1436" i="34"/>
  <c r="B1436" i="34" s="1"/>
  <c r="K1436" i="34"/>
  <c r="C1437" i="34"/>
  <c r="B1437" i="34" s="1"/>
  <c r="K1437" i="34"/>
  <c r="C1438" i="34"/>
  <c r="B1438" i="34" s="1"/>
  <c r="K1438" i="34"/>
  <c r="C1439" i="34"/>
  <c r="B1439" i="34" s="1"/>
  <c r="K1439" i="34"/>
  <c r="C1440" i="34"/>
  <c r="B1440" i="34" s="1"/>
  <c r="K1440" i="34"/>
  <c r="C1441" i="34"/>
  <c r="B1441" i="34" s="1"/>
  <c r="K1441" i="34"/>
  <c r="C1442" i="34"/>
  <c r="B1442" i="34" s="1"/>
  <c r="K1442" i="34"/>
  <c r="C1443" i="34"/>
  <c r="B1443" i="34" s="1"/>
  <c r="K1443" i="34"/>
  <c r="C1444" i="34"/>
  <c r="B1444" i="34" s="1"/>
  <c r="K1444" i="34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5" i="34"/>
  <c r="B1455" i="34" s="1"/>
  <c r="K1455" i="34"/>
  <c r="C1456" i="34"/>
  <c r="B1456" i="34" s="1"/>
  <c r="K1456" i="34"/>
  <c r="C1457" i="34"/>
  <c r="B1457" i="34" s="1"/>
  <c r="K1457" i="34"/>
  <c r="C1458" i="34"/>
  <c r="B1458" i="34" s="1"/>
  <c r="K1458" i="34"/>
  <c r="C1459" i="34"/>
  <c r="B1459" i="34" s="1"/>
  <c r="K1459" i="34"/>
  <c r="C1460" i="34"/>
  <c r="B1460" i="34" s="1"/>
  <c r="K1460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B1475" i="34"/>
  <c r="B1477" i="34"/>
  <c r="B1479" i="34"/>
  <c r="B1481" i="34"/>
  <c r="B1483" i="34"/>
  <c r="B1485" i="34"/>
  <c r="B1487" i="34"/>
  <c r="B1489" i="34"/>
  <c r="B1491" i="34"/>
  <c r="B1493" i="34"/>
  <c r="B1495" i="34"/>
  <c r="B1497" i="34"/>
  <c r="B1499" i="34"/>
  <c r="B1501" i="34"/>
  <c r="B1503" i="34"/>
  <c r="B1505" i="34"/>
  <c r="B1507" i="34"/>
  <c r="B1509" i="34"/>
  <c r="B1511" i="34"/>
  <c r="B1513" i="34"/>
  <c r="B1515" i="34"/>
  <c r="B1517" i="34"/>
  <c r="B1519" i="34"/>
  <c r="B1521" i="34"/>
  <c r="B1523" i="34"/>
  <c r="B1525" i="34"/>
  <c r="B1527" i="34"/>
  <c r="B1529" i="34"/>
  <c r="B1531" i="34"/>
  <c r="B1533" i="34"/>
  <c r="B1535" i="34"/>
  <c r="B1537" i="34"/>
  <c r="B1539" i="34"/>
  <c r="B1541" i="34"/>
  <c r="B1543" i="34"/>
  <c r="B1545" i="34"/>
  <c r="B1547" i="34"/>
  <c r="B1549" i="34"/>
  <c r="B1551" i="34"/>
  <c r="B1553" i="34"/>
  <c r="B1555" i="34"/>
  <c r="B1557" i="34"/>
  <c r="B1559" i="34"/>
  <c r="B1561" i="34"/>
  <c r="B1563" i="34"/>
  <c r="B1565" i="34"/>
  <c r="B1567" i="34"/>
  <c r="B1569" i="34"/>
  <c r="B1571" i="34"/>
  <c r="B1573" i="34"/>
  <c r="B1575" i="34"/>
  <c r="B1577" i="34"/>
  <c r="B1579" i="34"/>
  <c r="B1581" i="34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K1335" i="34"/>
  <c r="K1336" i="34"/>
  <c r="C1335" i="34"/>
  <c r="C1336" i="34"/>
  <c r="C1334" i="34"/>
  <c r="K1334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G39" i="55" s="1" a="1"/>
  <c r="G39" i="55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G40" i="55" a="1"/>
  <c r="G40" i="55" s="1"/>
  <c r="I40" i="55" a="1"/>
  <c r="I40" i="55" s="1"/>
  <c r="G41" i="55" a="1"/>
  <c r="G41" i="55" s="1"/>
  <c r="I41" i="55" a="1"/>
  <c r="I41" i="55" s="1"/>
  <c r="G42" i="55" a="1"/>
  <c r="G42" i="55" s="1"/>
  <c r="I42" i="55" a="1"/>
  <c r="I42" i="55" s="1"/>
  <c r="G43" i="55" a="1"/>
  <c r="G43" i="55" s="1"/>
  <c r="I43" i="55" a="1"/>
  <c r="I43" i="55" s="1"/>
  <c r="G44" i="55" a="1"/>
  <c r="G44" i="55" s="1"/>
  <c r="I44" i="55" a="1"/>
  <c r="I44" i="55" s="1"/>
  <c r="G45" i="55" a="1"/>
  <c r="G45" i="55" s="1"/>
  <c r="I45" i="55" a="1"/>
  <c r="I45" i="55" s="1"/>
  <c r="G46" i="55" a="1"/>
  <c r="G46" i="55" s="1"/>
  <c r="I46" i="55" a="1"/>
  <c r="I46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37" i="55" l="1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R24" i="34"/>
  <c r="V24" i="34"/>
  <c r="AA24" i="34"/>
  <c r="P24" i="34"/>
  <c r="X24" i="34"/>
  <c r="Q24" i="34"/>
  <c r="R28" i="34"/>
  <c r="V28" i="34"/>
  <c r="AA28" i="34"/>
  <c r="P28" i="34"/>
  <c r="X28" i="34"/>
  <c r="Q28" i="34"/>
  <c r="R30" i="34"/>
  <c r="V30" i="34"/>
  <c r="AA30" i="34"/>
  <c r="P30" i="34"/>
  <c r="X30" i="34"/>
  <c r="Q30" i="34"/>
  <c r="P33" i="34"/>
  <c r="X33" i="34"/>
  <c r="Q33" i="34"/>
  <c r="R33" i="34"/>
  <c r="V33" i="34"/>
  <c r="AA33" i="34"/>
  <c r="R36" i="34"/>
  <c r="V36" i="34"/>
  <c r="AA36" i="34"/>
  <c r="P36" i="34"/>
  <c r="X36" i="34"/>
  <c r="Q36" i="34"/>
  <c r="P39" i="34"/>
  <c r="X39" i="34"/>
  <c r="Q39" i="34"/>
  <c r="R39" i="34"/>
  <c r="V39" i="34"/>
  <c r="AA39" i="34"/>
  <c r="R42" i="34"/>
  <c r="V42" i="34"/>
  <c r="AA42" i="34"/>
  <c r="P42" i="34"/>
  <c r="X42" i="34"/>
  <c r="Q42" i="34"/>
  <c r="P45" i="34"/>
  <c r="X45" i="34"/>
  <c r="Q45" i="34"/>
  <c r="R45" i="34"/>
  <c r="V45" i="34"/>
  <c r="AA45" i="34"/>
  <c r="R48" i="34"/>
  <c r="V48" i="34"/>
  <c r="AA48" i="34"/>
  <c r="P48" i="34"/>
  <c r="X48" i="34"/>
  <c r="Q48" i="34"/>
  <c r="P51" i="34"/>
  <c r="X51" i="34"/>
  <c r="R51" i="34"/>
  <c r="V51" i="34"/>
  <c r="AA51" i="34"/>
  <c r="Q51" i="34"/>
  <c r="R54" i="34"/>
  <c r="V54" i="34"/>
  <c r="P54" i="34"/>
  <c r="Q54" i="34"/>
  <c r="AA54" i="34"/>
  <c r="X54" i="34"/>
  <c r="Q57" i="34"/>
  <c r="R57" i="34"/>
  <c r="V57" i="34"/>
  <c r="AA57" i="34"/>
  <c r="P57" i="34"/>
  <c r="X57" i="34"/>
  <c r="AA60" i="34"/>
  <c r="P60" i="34"/>
  <c r="X60" i="34"/>
  <c r="Q60" i="34"/>
  <c r="R60" i="34"/>
  <c r="V60" i="34"/>
  <c r="AA1645" i="34"/>
  <c r="P1645" i="34"/>
  <c r="X1645" i="34"/>
  <c r="Q1645" i="34"/>
  <c r="R1645" i="34"/>
  <c r="V1645" i="34"/>
  <c r="AA1637" i="34"/>
  <c r="P1637" i="34"/>
  <c r="X1637" i="34"/>
  <c r="Q1637" i="34"/>
  <c r="R1637" i="34"/>
  <c r="V1637" i="34"/>
  <c r="AA1629" i="34"/>
  <c r="P1629" i="34"/>
  <c r="X1629" i="34"/>
  <c r="Q1629" i="34"/>
  <c r="R1629" i="34"/>
  <c r="V1629" i="34"/>
  <c r="AA1621" i="34"/>
  <c r="P1621" i="34"/>
  <c r="X1621" i="34"/>
  <c r="Q1621" i="34"/>
  <c r="R1621" i="34"/>
  <c r="V1621" i="34"/>
  <c r="AA1613" i="34"/>
  <c r="P1613" i="34"/>
  <c r="X1613" i="34"/>
  <c r="Q1613" i="34"/>
  <c r="R1613" i="34"/>
  <c r="V1613" i="34"/>
  <c r="AA1605" i="34"/>
  <c r="P1605" i="34"/>
  <c r="X1605" i="34"/>
  <c r="Q1605" i="34"/>
  <c r="R1605" i="34"/>
  <c r="V1605" i="34"/>
  <c r="AA1597" i="34"/>
  <c r="P1597" i="34"/>
  <c r="X1597" i="34"/>
  <c r="Q1597" i="34"/>
  <c r="R1597" i="34"/>
  <c r="V1597" i="34"/>
  <c r="AA1589" i="34"/>
  <c r="P1589" i="34"/>
  <c r="X1589" i="34"/>
  <c r="Q1589" i="34"/>
  <c r="R1589" i="34"/>
  <c r="V1589" i="34"/>
  <c r="AA1581" i="34"/>
  <c r="P1581" i="34"/>
  <c r="X1581" i="34"/>
  <c r="Q1581" i="34"/>
  <c r="R1581" i="34"/>
  <c r="V1581" i="34"/>
  <c r="P1573" i="34"/>
  <c r="X1573" i="34"/>
  <c r="Q1573" i="34"/>
  <c r="R1573" i="34"/>
  <c r="V1573" i="34"/>
  <c r="AA1573" i="34"/>
  <c r="P1565" i="34"/>
  <c r="X1565" i="34"/>
  <c r="Q1565" i="34"/>
  <c r="R1565" i="34"/>
  <c r="V1565" i="34"/>
  <c r="AA1565" i="34"/>
  <c r="P1557" i="34"/>
  <c r="X1557" i="34"/>
  <c r="Q1557" i="34"/>
  <c r="R1557" i="34"/>
  <c r="V1557" i="34"/>
  <c r="AA1557" i="34"/>
  <c r="R1549" i="34"/>
  <c r="V1549" i="34"/>
  <c r="P1549" i="34"/>
  <c r="X1549" i="34"/>
  <c r="AA1549" i="34"/>
  <c r="Q1549" i="34"/>
  <c r="Q1541" i="34"/>
  <c r="R1541" i="34"/>
  <c r="V1541" i="34"/>
  <c r="AA1541" i="34"/>
  <c r="P1541" i="34"/>
  <c r="X1541" i="34"/>
  <c r="Q1533" i="34"/>
  <c r="R1533" i="34"/>
  <c r="V1533" i="34"/>
  <c r="AA1533" i="34"/>
  <c r="P1533" i="34"/>
  <c r="X1533" i="34"/>
  <c r="Q1525" i="34"/>
  <c r="R1525" i="34"/>
  <c r="V1525" i="34"/>
  <c r="AA1525" i="34"/>
  <c r="P1525" i="34"/>
  <c r="X1525" i="34"/>
  <c r="Q1517" i="34"/>
  <c r="R1517" i="34"/>
  <c r="V1517" i="34"/>
  <c r="AA1517" i="34"/>
  <c r="P1517" i="34"/>
  <c r="X1517" i="34"/>
  <c r="Q1509" i="34"/>
  <c r="R1509" i="34"/>
  <c r="V1509" i="34"/>
  <c r="AA1509" i="34"/>
  <c r="P1509" i="34"/>
  <c r="X1509" i="34"/>
  <c r="Q1501" i="34"/>
  <c r="R1501" i="34"/>
  <c r="V1501" i="34"/>
  <c r="AA1501" i="34"/>
  <c r="P1501" i="34"/>
  <c r="X1501" i="34"/>
  <c r="Q1493" i="34"/>
  <c r="R1493" i="34"/>
  <c r="V1493" i="34"/>
  <c r="AA1493" i="34"/>
  <c r="P1493" i="34"/>
  <c r="X1493" i="34"/>
  <c r="Q1485" i="34"/>
  <c r="R1485" i="34"/>
  <c r="V1485" i="34"/>
  <c r="AA1485" i="34"/>
  <c r="P1485" i="34"/>
  <c r="X1485" i="34"/>
  <c r="Q1477" i="34"/>
  <c r="R1477" i="34"/>
  <c r="V1477" i="34"/>
  <c r="AA1477" i="34"/>
  <c r="P1477" i="34"/>
  <c r="X1477" i="34"/>
  <c r="Q1472" i="34"/>
  <c r="R1472" i="34"/>
  <c r="V1472" i="34"/>
  <c r="AA1472" i="34"/>
  <c r="P1472" i="34"/>
  <c r="X1472" i="34"/>
  <c r="Q1470" i="34"/>
  <c r="R1470" i="34"/>
  <c r="V1470" i="34"/>
  <c r="AA1470" i="34"/>
  <c r="P1470" i="34"/>
  <c r="X1470" i="34"/>
  <c r="Q1468" i="34"/>
  <c r="R1468" i="34"/>
  <c r="V1468" i="34"/>
  <c r="AA1468" i="34"/>
  <c r="P1468" i="34"/>
  <c r="X1468" i="34"/>
  <c r="Q1466" i="34"/>
  <c r="R1466" i="34"/>
  <c r="V1466" i="34"/>
  <c r="AA1466" i="34"/>
  <c r="P1466" i="34"/>
  <c r="X1466" i="34"/>
  <c r="Q1464" i="34"/>
  <c r="R1464" i="34"/>
  <c r="V1464" i="34"/>
  <c r="AA1464" i="34"/>
  <c r="P1464" i="34"/>
  <c r="X1464" i="34"/>
  <c r="Q1462" i="34"/>
  <c r="R1462" i="34"/>
  <c r="V1462" i="34"/>
  <c r="AA1462" i="34"/>
  <c r="P1462" i="34"/>
  <c r="X1462" i="34"/>
  <c r="Q1460" i="34"/>
  <c r="R1460" i="34"/>
  <c r="V1460" i="34"/>
  <c r="AA1460" i="34"/>
  <c r="P1460" i="34"/>
  <c r="X1460" i="34"/>
  <c r="Q1458" i="34"/>
  <c r="R1458" i="34"/>
  <c r="V1458" i="34"/>
  <c r="AA1458" i="34"/>
  <c r="P1458" i="34"/>
  <c r="X1458" i="34"/>
  <c r="Q1456" i="34"/>
  <c r="R1456" i="34"/>
  <c r="V1456" i="34"/>
  <c r="AA1456" i="34"/>
  <c r="P1456" i="34"/>
  <c r="X1456" i="34"/>
  <c r="Q1454" i="34"/>
  <c r="R1454" i="34"/>
  <c r="V1454" i="34"/>
  <c r="AA1454" i="34"/>
  <c r="P1454" i="34"/>
  <c r="X1454" i="34"/>
  <c r="Q1452" i="34"/>
  <c r="R1452" i="34"/>
  <c r="V1452" i="34"/>
  <c r="AA1452" i="34"/>
  <c r="P1452" i="34"/>
  <c r="X1452" i="34"/>
  <c r="Q1450" i="34"/>
  <c r="R1450" i="34"/>
  <c r="V1450" i="34"/>
  <c r="AA1450" i="34"/>
  <c r="P1450" i="34"/>
  <c r="X1450" i="34"/>
  <c r="Q1448" i="34"/>
  <c r="R1448" i="34"/>
  <c r="V1448" i="34"/>
  <c r="AA1448" i="34"/>
  <c r="P1448" i="34"/>
  <c r="X1448" i="34"/>
  <c r="Q1446" i="34"/>
  <c r="R1446" i="34"/>
  <c r="V1446" i="34"/>
  <c r="AA1446" i="34"/>
  <c r="P1446" i="34"/>
  <c r="X1446" i="34"/>
  <c r="Q1444" i="34"/>
  <c r="R1444" i="34"/>
  <c r="V1444" i="34"/>
  <c r="AA1444" i="34"/>
  <c r="P1444" i="34"/>
  <c r="X1444" i="34"/>
  <c r="Q1442" i="34"/>
  <c r="R1442" i="34"/>
  <c r="V1442" i="34"/>
  <c r="AA1442" i="34"/>
  <c r="P1442" i="34"/>
  <c r="X1442" i="34"/>
  <c r="Q1440" i="34"/>
  <c r="R1440" i="34"/>
  <c r="V1440" i="34"/>
  <c r="AA1440" i="34"/>
  <c r="P1440" i="34"/>
  <c r="X1440" i="34"/>
  <c r="Q1438" i="34"/>
  <c r="R1438" i="34"/>
  <c r="V1438" i="34"/>
  <c r="AA1438" i="34"/>
  <c r="P1438" i="34"/>
  <c r="X1438" i="34"/>
  <c r="Q1436" i="34"/>
  <c r="R1436" i="34"/>
  <c r="V1436" i="34"/>
  <c r="AA1436" i="34"/>
  <c r="P1436" i="34"/>
  <c r="X1436" i="34"/>
  <c r="Q1434" i="34"/>
  <c r="R1434" i="34"/>
  <c r="V1434" i="34"/>
  <c r="AA1434" i="34"/>
  <c r="P1434" i="34"/>
  <c r="X1434" i="34"/>
  <c r="Q1432" i="34"/>
  <c r="R1432" i="34"/>
  <c r="V1432" i="34"/>
  <c r="AA1432" i="34"/>
  <c r="P1432" i="34"/>
  <c r="X1432" i="34"/>
  <c r="Q1430" i="34"/>
  <c r="R1430" i="34"/>
  <c r="V1430" i="34"/>
  <c r="AA1430" i="34"/>
  <c r="P1430" i="34"/>
  <c r="X1430" i="34"/>
  <c r="Q1428" i="34"/>
  <c r="R1428" i="34"/>
  <c r="V1428" i="34"/>
  <c r="AA1428" i="34"/>
  <c r="P1428" i="34"/>
  <c r="X1428" i="34"/>
  <c r="Q1426" i="34"/>
  <c r="R1426" i="34"/>
  <c r="V1426" i="34"/>
  <c r="AA1426" i="34"/>
  <c r="P1426" i="34"/>
  <c r="X1426" i="34"/>
  <c r="Q1424" i="34"/>
  <c r="R1424" i="34"/>
  <c r="V1424" i="34"/>
  <c r="AA1424" i="34"/>
  <c r="P1424" i="34"/>
  <c r="X1424" i="34"/>
  <c r="Q1422" i="34"/>
  <c r="R1422" i="34"/>
  <c r="V1422" i="34"/>
  <c r="AA1422" i="34"/>
  <c r="P1422" i="34"/>
  <c r="X1422" i="34"/>
  <c r="Q1420" i="34"/>
  <c r="R1420" i="34"/>
  <c r="V1420" i="34"/>
  <c r="AA1420" i="34"/>
  <c r="P1420" i="34"/>
  <c r="X1420" i="34"/>
  <c r="Q1418" i="34"/>
  <c r="R1418" i="34"/>
  <c r="V1418" i="34"/>
  <c r="AA1418" i="34"/>
  <c r="P1418" i="34"/>
  <c r="X1418" i="34"/>
  <c r="Q1416" i="34"/>
  <c r="R1416" i="34"/>
  <c r="V1416" i="34"/>
  <c r="AA1416" i="34"/>
  <c r="P1416" i="34"/>
  <c r="X1416" i="34"/>
  <c r="Q1414" i="34"/>
  <c r="R1414" i="34"/>
  <c r="V1414" i="34"/>
  <c r="AA1414" i="34"/>
  <c r="P1414" i="34"/>
  <c r="X1414" i="34"/>
  <c r="Q1412" i="34"/>
  <c r="R1412" i="34"/>
  <c r="V1412" i="34"/>
  <c r="AA1412" i="34"/>
  <c r="P1412" i="34"/>
  <c r="X1412" i="34"/>
  <c r="Q1410" i="34"/>
  <c r="R1410" i="34"/>
  <c r="V1410" i="34"/>
  <c r="AA1410" i="34"/>
  <c r="P1410" i="34"/>
  <c r="X1410" i="34"/>
  <c r="Q1408" i="34"/>
  <c r="R1408" i="34"/>
  <c r="V1408" i="34"/>
  <c r="AA1408" i="34"/>
  <c r="P1408" i="34"/>
  <c r="X1408" i="34"/>
  <c r="Q1406" i="34"/>
  <c r="R1406" i="34"/>
  <c r="V1406" i="34"/>
  <c r="AA1406" i="34"/>
  <c r="P1406" i="34"/>
  <c r="X1406" i="34"/>
  <c r="Q1404" i="34"/>
  <c r="R1404" i="34"/>
  <c r="V1404" i="34"/>
  <c r="AA1404" i="34"/>
  <c r="P1404" i="34"/>
  <c r="X1404" i="34"/>
  <c r="Q1402" i="34"/>
  <c r="R1402" i="34"/>
  <c r="V1402" i="34"/>
  <c r="AA1402" i="34"/>
  <c r="P1402" i="34"/>
  <c r="X1402" i="34"/>
  <c r="Q1400" i="34"/>
  <c r="R1400" i="34"/>
  <c r="V1400" i="34"/>
  <c r="AA1400" i="34"/>
  <c r="P1400" i="34"/>
  <c r="X1400" i="34"/>
  <c r="Q1398" i="34"/>
  <c r="R1398" i="34"/>
  <c r="V1398" i="34"/>
  <c r="AA1398" i="34"/>
  <c r="P1398" i="34"/>
  <c r="X1398" i="34"/>
  <c r="Q1396" i="34"/>
  <c r="R1396" i="34"/>
  <c r="V1396" i="34"/>
  <c r="AA1396" i="34"/>
  <c r="P1396" i="34"/>
  <c r="X1396" i="34"/>
  <c r="Q1394" i="34"/>
  <c r="R1394" i="34"/>
  <c r="V1394" i="34"/>
  <c r="AA1394" i="34"/>
  <c r="P1394" i="34"/>
  <c r="X1394" i="34"/>
  <c r="Q1392" i="34"/>
  <c r="R1392" i="34"/>
  <c r="V1392" i="34"/>
  <c r="AA1392" i="34"/>
  <c r="P1392" i="34"/>
  <c r="X1392" i="34"/>
  <c r="Q1390" i="34"/>
  <c r="R1390" i="34"/>
  <c r="V1390" i="34"/>
  <c r="AA1390" i="34"/>
  <c r="P1390" i="34"/>
  <c r="X1390" i="34"/>
  <c r="Q1388" i="34"/>
  <c r="R1388" i="34"/>
  <c r="V1388" i="34"/>
  <c r="AA1388" i="34"/>
  <c r="P1388" i="34"/>
  <c r="X1388" i="34"/>
  <c r="Q1386" i="34"/>
  <c r="R1386" i="34"/>
  <c r="V1386" i="34"/>
  <c r="AA1386" i="34"/>
  <c r="P1386" i="34"/>
  <c r="X1386" i="34"/>
  <c r="Q1384" i="34"/>
  <c r="R1384" i="34"/>
  <c r="V1384" i="34"/>
  <c r="AA1384" i="34"/>
  <c r="P1384" i="34"/>
  <c r="X1384" i="34"/>
  <c r="Q1382" i="34"/>
  <c r="R1382" i="34"/>
  <c r="V1382" i="34"/>
  <c r="AA1382" i="34"/>
  <c r="P1382" i="34"/>
  <c r="X1382" i="34"/>
  <c r="Q1380" i="34"/>
  <c r="R1380" i="34"/>
  <c r="V1380" i="34"/>
  <c r="AA1380" i="34"/>
  <c r="P1380" i="34"/>
  <c r="X1380" i="34"/>
  <c r="Q1378" i="34"/>
  <c r="R1378" i="34"/>
  <c r="V1378" i="34"/>
  <c r="AA1378" i="34"/>
  <c r="P1378" i="34"/>
  <c r="X1378" i="34"/>
  <c r="Q1376" i="34"/>
  <c r="R1376" i="34"/>
  <c r="V1376" i="34"/>
  <c r="AA1376" i="34"/>
  <c r="P1376" i="34"/>
  <c r="X1376" i="34"/>
  <c r="Q1374" i="34"/>
  <c r="R1374" i="34"/>
  <c r="V1374" i="34"/>
  <c r="AA1374" i="34"/>
  <c r="P1374" i="34"/>
  <c r="X1374" i="34"/>
  <c r="Q1372" i="34"/>
  <c r="R1372" i="34"/>
  <c r="V1372" i="34"/>
  <c r="AA1372" i="34"/>
  <c r="P1372" i="34"/>
  <c r="X1372" i="34"/>
  <c r="Q1370" i="34"/>
  <c r="R1370" i="34"/>
  <c r="V1370" i="34"/>
  <c r="AA1370" i="34"/>
  <c r="P1370" i="34"/>
  <c r="X1370" i="34"/>
  <c r="Q1368" i="34"/>
  <c r="R1368" i="34"/>
  <c r="V1368" i="34"/>
  <c r="AA1368" i="34"/>
  <c r="P1368" i="34"/>
  <c r="X1368" i="34"/>
  <c r="Q1366" i="34"/>
  <c r="R1366" i="34"/>
  <c r="V1366" i="34"/>
  <c r="AA1366" i="34"/>
  <c r="P1366" i="34"/>
  <c r="X1366" i="34"/>
  <c r="Q1364" i="34"/>
  <c r="R1364" i="34"/>
  <c r="V1364" i="34"/>
  <c r="AA1364" i="34"/>
  <c r="P1364" i="34"/>
  <c r="X1364" i="34"/>
  <c r="Q1362" i="34"/>
  <c r="R1362" i="34"/>
  <c r="V1362" i="34"/>
  <c r="AA1362" i="34"/>
  <c r="P1362" i="34"/>
  <c r="X1362" i="34"/>
  <c r="Q1360" i="34"/>
  <c r="R1360" i="34"/>
  <c r="V1360" i="34"/>
  <c r="AA1360" i="34"/>
  <c r="P1360" i="34"/>
  <c r="X1360" i="34"/>
  <c r="Q1358" i="34"/>
  <c r="R1358" i="34"/>
  <c r="V1358" i="34"/>
  <c r="AA1358" i="34"/>
  <c r="P1358" i="34"/>
  <c r="X1358" i="34"/>
  <c r="Q1356" i="34"/>
  <c r="R1356" i="34"/>
  <c r="V1356" i="34"/>
  <c r="AA1356" i="34"/>
  <c r="P1356" i="34"/>
  <c r="X1356" i="34"/>
  <c r="Q1354" i="34"/>
  <c r="R1354" i="34"/>
  <c r="V1354" i="34"/>
  <c r="AA1354" i="34"/>
  <c r="P1354" i="34"/>
  <c r="X1354" i="34"/>
  <c r="AA1351" i="34"/>
  <c r="P1351" i="34"/>
  <c r="X1351" i="34"/>
  <c r="Q1351" i="34"/>
  <c r="R1351" i="34"/>
  <c r="V1351" i="34"/>
  <c r="Q1346" i="34"/>
  <c r="R1346" i="34"/>
  <c r="V1346" i="34"/>
  <c r="AA1346" i="34"/>
  <c r="P1346" i="34"/>
  <c r="X1346" i="34"/>
  <c r="Q1344" i="34"/>
  <c r="R1344" i="34"/>
  <c r="V1344" i="34"/>
  <c r="AA1344" i="34"/>
  <c r="P1344" i="34"/>
  <c r="X1344" i="34"/>
  <c r="Q1342" i="34"/>
  <c r="R1342" i="34"/>
  <c r="V1342" i="34"/>
  <c r="AA1342" i="34"/>
  <c r="P1342" i="34"/>
  <c r="X1342" i="34"/>
  <c r="Q1340" i="34"/>
  <c r="R1340" i="34"/>
  <c r="V1340" i="34"/>
  <c r="AA1340" i="34"/>
  <c r="P1340" i="34"/>
  <c r="X1340" i="34"/>
  <c r="Q1338" i="34"/>
  <c r="R1338" i="34"/>
  <c r="V1338" i="34"/>
  <c r="AA1338" i="34"/>
  <c r="P1338" i="34"/>
  <c r="X1338" i="34"/>
  <c r="P25" i="34"/>
  <c r="X25" i="34"/>
  <c r="Q25" i="34"/>
  <c r="R25" i="34"/>
  <c r="V25" i="34"/>
  <c r="AA25" i="34"/>
  <c r="I34" i="55" a="1"/>
  <c r="I34" i="55" s="1"/>
  <c r="Z28" i="34"/>
  <c r="Y28" i="34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P31" i="34"/>
  <c r="X31" i="34"/>
  <c r="Q31" i="34"/>
  <c r="R31" i="34"/>
  <c r="V31" i="34"/>
  <c r="AA31" i="34"/>
  <c r="R34" i="34"/>
  <c r="V34" i="34"/>
  <c r="AA34" i="34"/>
  <c r="P34" i="34"/>
  <c r="X34" i="34"/>
  <c r="Q34" i="34"/>
  <c r="P37" i="34"/>
  <c r="X37" i="34"/>
  <c r="Q37" i="34"/>
  <c r="R37" i="34"/>
  <c r="V37" i="34"/>
  <c r="AA37" i="34"/>
  <c r="R40" i="34"/>
  <c r="V40" i="34"/>
  <c r="AA40" i="34"/>
  <c r="P40" i="34"/>
  <c r="X40" i="34"/>
  <c r="Q40" i="34"/>
  <c r="P43" i="34"/>
  <c r="X43" i="34"/>
  <c r="Q43" i="34"/>
  <c r="R43" i="34"/>
  <c r="V43" i="34"/>
  <c r="AA43" i="34"/>
  <c r="R46" i="34"/>
  <c r="V46" i="34"/>
  <c r="AA46" i="34"/>
  <c r="P46" i="34"/>
  <c r="X46" i="34"/>
  <c r="Q46" i="34"/>
  <c r="P49" i="34"/>
  <c r="X49" i="34"/>
  <c r="Q49" i="34"/>
  <c r="R49" i="34"/>
  <c r="V49" i="34"/>
  <c r="AA49" i="34"/>
  <c r="R52" i="34"/>
  <c r="V52" i="34"/>
  <c r="P52" i="34"/>
  <c r="X52" i="34"/>
  <c r="AA52" i="34"/>
  <c r="Q52" i="34"/>
  <c r="P55" i="34"/>
  <c r="X55" i="34"/>
  <c r="Q55" i="34"/>
  <c r="R55" i="34"/>
  <c r="V55" i="34"/>
  <c r="AA55" i="34"/>
  <c r="AA58" i="34"/>
  <c r="P58" i="34"/>
  <c r="X58" i="34"/>
  <c r="Q58" i="34"/>
  <c r="R58" i="34"/>
  <c r="V58" i="34"/>
  <c r="Q61" i="34"/>
  <c r="R61" i="34"/>
  <c r="V61" i="34"/>
  <c r="AA61" i="34"/>
  <c r="P61" i="34"/>
  <c r="X61" i="34"/>
  <c r="AA1643" i="34"/>
  <c r="P1643" i="34"/>
  <c r="X1643" i="34"/>
  <c r="Q1643" i="34"/>
  <c r="R1643" i="34"/>
  <c r="V1643" i="34"/>
  <c r="AA1635" i="34"/>
  <c r="P1635" i="34"/>
  <c r="X1635" i="34"/>
  <c r="Q1635" i="34"/>
  <c r="R1635" i="34"/>
  <c r="V1635" i="34"/>
  <c r="AA1627" i="34"/>
  <c r="P1627" i="34"/>
  <c r="X1627" i="34"/>
  <c r="Q1627" i="34"/>
  <c r="R1627" i="34"/>
  <c r="V1627" i="34"/>
  <c r="AA1619" i="34"/>
  <c r="P1619" i="34"/>
  <c r="X1619" i="34"/>
  <c r="Q1619" i="34"/>
  <c r="R1619" i="34"/>
  <c r="V1619" i="34"/>
  <c r="AA1611" i="34"/>
  <c r="P1611" i="34"/>
  <c r="X1611" i="34"/>
  <c r="Q1611" i="34"/>
  <c r="R1611" i="34"/>
  <c r="V1611" i="34"/>
  <c r="AA1603" i="34"/>
  <c r="P1603" i="34"/>
  <c r="X1603" i="34"/>
  <c r="Q1603" i="34"/>
  <c r="R1603" i="34"/>
  <c r="V1603" i="34"/>
  <c r="AA1595" i="34"/>
  <c r="P1595" i="34"/>
  <c r="X1595" i="34"/>
  <c r="Q1595" i="34"/>
  <c r="R1595" i="34"/>
  <c r="V1595" i="34"/>
  <c r="AA1587" i="34"/>
  <c r="P1587" i="34"/>
  <c r="X1587" i="34"/>
  <c r="Q1587" i="34"/>
  <c r="R1587" i="34"/>
  <c r="V1587" i="34"/>
  <c r="AA1579" i="34"/>
  <c r="P1579" i="34"/>
  <c r="X1579" i="34"/>
  <c r="Q1579" i="34"/>
  <c r="R1579" i="34"/>
  <c r="V1579" i="34"/>
  <c r="P1571" i="34"/>
  <c r="X1571" i="34"/>
  <c r="Q1571" i="34"/>
  <c r="R1571" i="34"/>
  <c r="V1571" i="34"/>
  <c r="AA1571" i="34"/>
  <c r="P1563" i="34"/>
  <c r="X1563" i="34"/>
  <c r="Q1563" i="34"/>
  <c r="R1563" i="34"/>
  <c r="V1563" i="34"/>
  <c r="AA1563" i="34"/>
  <c r="P1555" i="34"/>
  <c r="X1555" i="34"/>
  <c r="Q1555" i="34"/>
  <c r="R1555" i="34"/>
  <c r="V1555" i="34"/>
  <c r="AA1555" i="34"/>
  <c r="R1547" i="34"/>
  <c r="V1547" i="34"/>
  <c r="P1547" i="34"/>
  <c r="X1547" i="34"/>
  <c r="AA1547" i="34"/>
  <c r="Q1547" i="34"/>
  <c r="Q1539" i="34"/>
  <c r="R1539" i="34"/>
  <c r="V1539" i="34"/>
  <c r="AA1539" i="34"/>
  <c r="P1539" i="34"/>
  <c r="X1539" i="34"/>
  <c r="Q1531" i="34"/>
  <c r="R1531" i="34"/>
  <c r="V1531" i="34"/>
  <c r="AA1531" i="34"/>
  <c r="P1531" i="34"/>
  <c r="X1531" i="34"/>
  <c r="Q1523" i="34"/>
  <c r="R1523" i="34"/>
  <c r="V1523" i="34"/>
  <c r="AA1523" i="34"/>
  <c r="P1523" i="34"/>
  <c r="X1523" i="34"/>
  <c r="Q1515" i="34"/>
  <c r="R1515" i="34"/>
  <c r="V1515" i="34"/>
  <c r="AA1515" i="34"/>
  <c r="P1515" i="34"/>
  <c r="X1515" i="34"/>
  <c r="Q1507" i="34"/>
  <c r="R1507" i="34"/>
  <c r="V1507" i="34"/>
  <c r="AA1507" i="34"/>
  <c r="P1507" i="34"/>
  <c r="X1507" i="34"/>
  <c r="Q1499" i="34"/>
  <c r="R1499" i="34"/>
  <c r="V1499" i="34"/>
  <c r="AA1499" i="34"/>
  <c r="P1499" i="34"/>
  <c r="X1499" i="34"/>
  <c r="Q1491" i="34"/>
  <c r="R1491" i="34"/>
  <c r="V1491" i="34"/>
  <c r="AA1491" i="34"/>
  <c r="P1491" i="34"/>
  <c r="X1491" i="34"/>
  <c r="Q1483" i="34"/>
  <c r="R1483" i="34"/>
  <c r="V1483" i="34"/>
  <c r="AA1483" i="34"/>
  <c r="P1483" i="34"/>
  <c r="X1483" i="34"/>
  <c r="Q1475" i="34"/>
  <c r="R1475" i="34"/>
  <c r="V1475" i="34"/>
  <c r="AA1475" i="34"/>
  <c r="P1475" i="34"/>
  <c r="X1475" i="34"/>
  <c r="R22" i="34"/>
  <c r="V22" i="34"/>
  <c r="AA22" i="34"/>
  <c r="P22" i="34"/>
  <c r="X22" i="34"/>
  <c r="Q22" i="34"/>
  <c r="R26" i="34"/>
  <c r="V26" i="34"/>
  <c r="AA26" i="34"/>
  <c r="P26" i="34"/>
  <c r="X26" i="34"/>
  <c r="Q26" i="34"/>
  <c r="Y31" i="34"/>
  <c r="Z31" i="34"/>
  <c r="Z34" i="34"/>
  <c r="Y34" i="34"/>
  <c r="Y37" i="34"/>
  <c r="Z37" i="34"/>
  <c r="Z40" i="34"/>
  <c r="Y40" i="34"/>
  <c r="Y43" i="34"/>
  <c r="Z43" i="34"/>
  <c r="Z46" i="34"/>
  <c r="Y46" i="34"/>
  <c r="Y49" i="34"/>
  <c r="Z49" i="34"/>
  <c r="Z52" i="34"/>
  <c r="Y52" i="34"/>
  <c r="Y55" i="34"/>
  <c r="Z55" i="34"/>
  <c r="Y58" i="34"/>
  <c r="Z58" i="34"/>
  <c r="Y61" i="34"/>
  <c r="Z61" i="34"/>
  <c r="AA1649" i="34"/>
  <c r="P1649" i="34"/>
  <c r="X1649" i="34"/>
  <c r="Q1649" i="34"/>
  <c r="R1649" i="34"/>
  <c r="V1649" i="34"/>
  <c r="AA1641" i="34"/>
  <c r="P1641" i="34"/>
  <c r="X1641" i="34"/>
  <c r="Q1641" i="34"/>
  <c r="R1641" i="34"/>
  <c r="V1641" i="34"/>
  <c r="AA1633" i="34"/>
  <c r="P1633" i="34"/>
  <c r="X1633" i="34"/>
  <c r="Q1633" i="34"/>
  <c r="R1633" i="34"/>
  <c r="V1633" i="34"/>
  <c r="AA1625" i="34"/>
  <c r="P1625" i="34"/>
  <c r="X1625" i="34"/>
  <c r="Q1625" i="34"/>
  <c r="R1625" i="34"/>
  <c r="V1625" i="34"/>
  <c r="AA1617" i="34"/>
  <c r="P1617" i="34"/>
  <c r="X1617" i="34"/>
  <c r="Q1617" i="34"/>
  <c r="R1617" i="34"/>
  <c r="V1617" i="34"/>
  <c r="AA1609" i="34"/>
  <c r="P1609" i="34"/>
  <c r="X1609" i="34"/>
  <c r="Q1609" i="34"/>
  <c r="R1609" i="34"/>
  <c r="V1609" i="34"/>
  <c r="AA1601" i="34"/>
  <c r="P1601" i="34"/>
  <c r="X1601" i="34"/>
  <c r="Q1601" i="34"/>
  <c r="R1601" i="34"/>
  <c r="V1601" i="34"/>
  <c r="AA1593" i="34"/>
  <c r="P1593" i="34"/>
  <c r="X1593" i="34"/>
  <c r="Q1593" i="34"/>
  <c r="R1593" i="34"/>
  <c r="V1593" i="34"/>
  <c r="AA1585" i="34"/>
  <c r="P1585" i="34"/>
  <c r="X1585" i="34"/>
  <c r="Q1585" i="34"/>
  <c r="R1585" i="34"/>
  <c r="V1585" i="34"/>
  <c r="AA1577" i="34"/>
  <c r="P1577" i="34"/>
  <c r="X1577" i="34"/>
  <c r="Q1577" i="34"/>
  <c r="R1577" i="34"/>
  <c r="V1577" i="34"/>
  <c r="P1569" i="34"/>
  <c r="X1569" i="34"/>
  <c r="Q1569" i="34"/>
  <c r="R1569" i="34"/>
  <c r="V1569" i="34"/>
  <c r="AA1569" i="34"/>
  <c r="P1561" i="34"/>
  <c r="X1561" i="34"/>
  <c r="Q1561" i="34"/>
  <c r="R1561" i="34"/>
  <c r="V1561" i="34"/>
  <c r="AA1561" i="34"/>
  <c r="P1553" i="34"/>
  <c r="X1553" i="34"/>
  <c r="Q1553" i="34"/>
  <c r="R1553" i="34"/>
  <c r="V1553" i="34"/>
  <c r="AA1553" i="34"/>
  <c r="Q1545" i="34"/>
  <c r="R1545" i="34"/>
  <c r="V1545" i="34"/>
  <c r="P1545" i="34"/>
  <c r="X1545" i="34"/>
  <c r="AA1545" i="34"/>
  <c r="Q1537" i="34"/>
  <c r="R1537" i="34"/>
  <c r="V1537" i="34"/>
  <c r="AA1537" i="34"/>
  <c r="P1537" i="34"/>
  <c r="X1537" i="34"/>
  <c r="Q1529" i="34"/>
  <c r="R1529" i="34"/>
  <c r="V1529" i="34"/>
  <c r="AA1529" i="34"/>
  <c r="P1529" i="34"/>
  <c r="X1529" i="34"/>
  <c r="Q1521" i="34"/>
  <c r="R1521" i="34"/>
  <c r="V1521" i="34"/>
  <c r="AA1521" i="34"/>
  <c r="P1521" i="34"/>
  <c r="X1521" i="34"/>
  <c r="Q1513" i="34"/>
  <c r="R1513" i="34"/>
  <c r="V1513" i="34"/>
  <c r="AA1513" i="34"/>
  <c r="P1513" i="34"/>
  <c r="X1513" i="34"/>
  <c r="Q1505" i="34"/>
  <c r="R1505" i="34"/>
  <c r="V1505" i="34"/>
  <c r="AA1505" i="34"/>
  <c r="P1505" i="34"/>
  <c r="X1505" i="34"/>
  <c r="Q1497" i="34"/>
  <c r="R1497" i="34"/>
  <c r="V1497" i="34"/>
  <c r="AA1497" i="34"/>
  <c r="P1497" i="34"/>
  <c r="X1497" i="34"/>
  <c r="Q1489" i="34"/>
  <c r="R1489" i="34"/>
  <c r="V1489" i="34"/>
  <c r="AA1489" i="34"/>
  <c r="P1489" i="34"/>
  <c r="X1489" i="34"/>
  <c r="Q1481" i="34"/>
  <c r="R1481" i="34"/>
  <c r="V1481" i="34"/>
  <c r="AA1481" i="34"/>
  <c r="P1481" i="34"/>
  <c r="X1481" i="34"/>
  <c r="AA1474" i="34"/>
  <c r="P1474" i="34"/>
  <c r="X1474" i="34"/>
  <c r="Q1474" i="34"/>
  <c r="R1474" i="34"/>
  <c r="V1474" i="34"/>
  <c r="AA1473" i="34"/>
  <c r="P1473" i="34"/>
  <c r="X1473" i="34"/>
  <c r="Q1473" i="34"/>
  <c r="R1473" i="34"/>
  <c r="V1473" i="34"/>
  <c r="AA1471" i="34"/>
  <c r="P1471" i="34"/>
  <c r="X1471" i="34"/>
  <c r="Q1471" i="34"/>
  <c r="R1471" i="34"/>
  <c r="V1471" i="34"/>
  <c r="AA1469" i="34"/>
  <c r="P1469" i="34"/>
  <c r="X1469" i="34"/>
  <c r="Q1469" i="34"/>
  <c r="R1469" i="34"/>
  <c r="V1469" i="34"/>
  <c r="AA1467" i="34"/>
  <c r="P1467" i="34"/>
  <c r="X1467" i="34"/>
  <c r="Q1467" i="34"/>
  <c r="R1467" i="34"/>
  <c r="V1467" i="34"/>
  <c r="AA1465" i="34"/>
  <c r="P1465" i="34"/>
  <c r="X1465" i="34"/>
  <c r="Q1465" i="34"/>
  <c r="R1465" i="34"/>
  <c r="V1465" i="34"/>
  <c r="AA1463" i="34"/>
  <c r="P1463" i="34"/>
  <c r="X1463" i="34"/>
  <c r="Q1463" i="34"/>
  <c r="R1463" i="34"/>
  <c r="V1463" i="34"/>
  <c r="AA1461" i="34"/>
  <c r="P1461" i="34"/>
  <c r="X1461" i="34"/>
  <c r="Q1461" i="34"/>
  <c r="R1461" i="34"/>
  <c r="V1461" i="34"/>
  <c r="AA1459" i="34"/>
  <c r="P1459" i="34"/>
  <c r="X1459" i="34"/>
  <c r="Q1459" i="34"/>
  <c r="R1459" i="34"/>
  <c r="V1459" i="34"/>
  <c r="AA1457" i="34"/>
  <c r="P1457" i="34"/>
  <c r="X1457" i="34"/>
  <c r="Q1457" i="34"/>
  <c r="R1457" i="34"/>
  <c r="V1457" i="34"/>
  <c r="AA1455" i="34"/>
  <c r="P1455" i="34"/>
  <c r="X1455" i="34"/>
  <c r="Q1455" i="34"/>
  <c r="R1455" i="34"/>
  <c r="V1455" i="34"/>
  <c r="AA1453" i="34"/>
  <c r="P1453" i="34"/>
  <c r="X1453" i="34"/>
  <c r="Q1453" i="34"/>
  <c r="R1453" i="34"/>
  <c r="V1453" i="34"/>
  <c r="AA1451" i="34"/>
  <c r="P1451" i="34"/>
  <c r="X1451" i="34"/>
  <c r="Q1451" i="34"/>
  <c r="R1451" i="34"/>
  <c r="V1451" i="34"/>
  <c r="AA1449" i="34"/>
  <c r="P1449" i="34"/>
  <c r="X1449" i="34"/>
  <c r="Q1449" i="34"/>
  <c r="R1449" i="34"/>
  <c r="V1449" i="34"/>
  <c r="AA1447" i="34"/>
  <c r="P1447" i="34"/>
  <c r="X1447" i="34"/>
  <c r="Q1447" i="34"/>
  <c r="R1447" i="34"/>
  <c r="V1447" i="34"/>
  <c r="AA1445" i="34"/>
  <c r="P1445" i="34"/>
  <c r="X1445" i="34"/>
  <c r="Q1445" i="34"/>
  <c r="R1445" i="34"/>
  <c r="V1445" i="34"/>
  <c r="AA1443" i="34"/>
  <c r="P1443" i="34"/>
  <c r="X1443" i="34"/>
  <c r="Q1443" i="34"/>
  <c r="R1443" i="34"/>
  <c r="V1443" i="34"/>
  <c r="AA1441" i="34"/>
  <c r="P1441" i="34"/>
  <c r="X1441" i="34"/>
  <c r="Q1441" i="34"/>
  <c r="R1441" i="34"/>
  <c r="V1441" i="34"/>
  <c r="AA1439" i="34"/>
  <c r="P1439" i="34"/>
  <c r="X1439" i="34"/>
  <c r="Q1439" i="34"/>
  <c r="R1439" i="34"/>
  <c r="V1439" i="34"/>
  <c r="AA1437" i="34"/>
  <c r="P1437" i="34"/>
  <c r="X1437" i="34"/>
  <c r="Q1437" i="34"/>
  <c r="R1437" i="34"/>
  <c r="V1437" i="34"/>
  <c r="AA1435" i="34"/>
  <c r="P1435" i="34"/>
  <c r="X1435" i="34"/>
  <c r="Q1435" i="34"/>
  <c r="R1435" i="34"/>
  <c r="V1435" i="34"/>
  <c r="AA1433" i="34"/>
  <c r="P1433" i="34"/>
  <c r="X1433" i="34"/>
  <c r="Q1433" i="34"/>
  <c r="R1433" i="34"/>
  <c r="V1433" i="34"/>
  <c r="AA1431" i="34"/>
  <c r="P1431" i="34"/>
  <c r="X1431" i="34"/>
  <c r="Q1431" i="34"/>
  <c r="R1431" i="34"/>
  <c r="V1431" i="34"/>
  <c r="AA1429" i="34"/>
  <c r="P1429" i="34"/>
  <c r="X1429" i="34"/>
  <c r="Q1429" i="34"/>
  <c r="R1429" i="34"/>
  <c r="V1429" i="34"/>
  <c r="AA1427" i="34"/>
  <c r="P1427" i="34"/>
  <c r="X1427" i="34"/>
  <c r="Q1427" i="34"/>
  <c r="R1427" i="34"/>
  <c r="V1427" i="34"/>
  <c r="AA1425" i="34"/>
  <c r="P1425" i="34"/>
  <c r="X1425" i="34"/>
  <c r="Q1425" i="34"/>
  <c r="R1425" i="34"/>
  <c r="V1425" i="34"/>
  <c r="AA1423" i="34"/>
  <c r="P1423" i="34"/>
  <c r="X1423" i="34"/>
  <c r="Q1423" i="34"/>
  <c r="R1423" i="34"/>
  <c r="V1423" i="34"/>
  <c r="AA1421" i="34"/>
  <c r="P1421" i="34"/>
  <c r="X1421" i="34"/>
  <c r="Q1421" i="34"/>
  <c r="R1421" i="34"/>
  <c r="V1421" i="34"/>
  <c r="AA1419" i="34"/>
  <c r="P1419" i="34"/>
  <c r="X1419" i="34"/>
  <c r="Q1419" i="34"/>
  <c r="R1419" i="34"/>
  <c r="V1419" i="34"/>
  <c r="AA1417" i="34"/>
  <c r="P1417" i="34"/>
  <c r="X1417" i="34"/>
  <c r="Q1417" i="34"/>
  <c r="R1417" i="34"/>
  <c r="V1417" i="34"/>
  <c r="AA1415" i="34"/>
  <c r="P1415" i="34"/>
  <c r="X1415" i="34"/>
  <c r="Q1415" i="34"/>
  <c r="R1415" i="34"/>
  <c r="V1415" i="34"/>
  <c r="AA1413" i="34"/>
  <c r="P1413" i="34"/>
  <c r="X1413" i="34"/>
  <c r="Q1413" i="34"/>
  <c r="R1413" i="34"/>
  <c r="V1413" i="34"/>
  <c r="AA1411" i="34"/>
  <c r="P1411" i="34"/>
  <c r="X1411" i="34"/>
  <c r="Q1411" i="34"/>
  <c r="R1411" i="34"/>
  <c r="V1411" i="34"/>
  <c r="AA1409" i="34"/>
  <c r="P1409" i="34"/>
  <c r="X1409" i="34"/>
  <c r="Q1409" i="34"/>
  <c r="R1409" i="34"/>
  <c r="V1409" i="34"/>
  <c r="AA1407" i="34"/>
  <c r="P1407" i="34"/>
  <c r="X1407" i="34"/>
  <c r="Q1407" i="34"/>
  <c r="R1407" i="34"/>
  <c r="V1407" i="34"/>
  <c r="AA1405" i="34"/>
  <c r="P1405" i="34"/>
  <c r="X1405" i="34"/>
  <c r="Q1405" i="34"/>
  <c r="R1405" i="34"/>
  <c r="V1405" i="34"/>
  <c r="AA1403" i="34"/>
  <c r="P1403" i="34"/>
  <c r="X1403" i="34"/>
  <c r="Q1403" i="34"/>
  <c r="R1403" i="34"/>
  <c r="V1403" i="34"/>
  <c r="AA1401" i="34"/>
  <c r="P1401" i="34"/>
  <c r="X1401" i="34"/>
  <c r="Q1401" i="34"/>
  <c r="R1401" i="34"/>
  <c r="V1401" i="34"/>
  <c r="AA1399" i="34"/>
  <c r="P1399" i="34"/>
  <c r="X1399" i="34"/>
  <c r="Q1399" i="34"/>
  <c r="R1399" i="34"/>
  <c r="V1399" i="34"/>
  <c r="AA1397" i="34"/>
  <c r="P1397" i="34"/>
  <c r="X1397" i="34"/>
  <c r="Q1397" i="34"/>
  <c r="R1397" i="34"/>
  <c r="V1397" i="34"/>
  <c r="AA1395" i="34"/>
  <c r="P1395" i="34"/>
  <c r="X1395" i="34"/>
  <c r="Q1395" i="34"/>
  <c r="R1395" i="34"/>
  <c r="V1395" i="34"/>
  <c r="AA1393" i="34"/>
  <c r="P1393" i="34"/>
  <c r="X1393" i="34"/>
  <c r="Q1393" i="34"/>
  <c r="R1393" i="34"/>
  <c r="V1393" i="34"/>
  <c r="AA1391" i="34"/>
  <c r="P1391" i="34"/>
  <c r="X1391" i="34"/>
  <c r="Q1391" i="34"/>
  <c r="R1391" i="34"/>
  <c r="V1391" i="34"/>
  <c r="AA1389" i="34"/>
  <c r="P1389" i="34"/>
  <c r="X1389" i="34"/>
  <c r="Q1389" i="34"/>
  <c r="R1389" i="34"/>
  <c r="V1389" i="34"/>
  <c r="AA1387" i="34"/>
  <c r="P1387" i="34"/>
  <c r="X1387" i="34"/>
  <c r="Q1387" i="34"/>
  <c r="R1387" i="34"/>
  <c r="V1387" i="34"/>
  <c r="AA1385" i="34"/>
  <c r="P1385" i="34"/>
  <c r="X1385" i="34"/>
  <c r="Q1385" i="34"/>
  <c r="R1385" i="34"/>
  <c r="V1385" i="34"/>
  <c r="AA1383" i="34"/>
  <c r="P1383" i="34"/>
  <c r="X1383" i="34"/>
  <c r="Q1383" i="34"/>
  <c r="R1383" i="34"/>
  <c r="V1383" i="34"/>
  <c r="AA1381" i="34"/>
  <c r="P1381" i="34"/>
  <c r="X1381" i="34"/>
  <c r="Q1381" i="34"/>
  <c r="R1381" i="34"/>
  <c r="V1381" i="34"/>
  <c r="AA1379" i="34"/>
  <c r="P1379" i="34"/>
  <c r="X1379" i="34"/>
  <c r="Q1379" i="34"/>
  <c r="R1379" i="34"/>
  <c r="V1379" i="34"/>
  <c r="AA1377" i="34"/>
  <c r="P1377" i="34"/>
  <c r="X1377" i="34"/>
  <c r="Q1377" i="34"/>
  <c r="R1377" i="34"/>
  <c r="V1377" i="34"/>
  <c r="AA1375" i="34"/>
  <c r="P1375" i="34"/>
  <c r="X1375" i="34"/>
  <c r="Q1375" i="34"/>
  <c r="R1375" i="34"/>
  <c r="V1375" i="34"/>
  <c r="AA1373" i="34"/>
  <c r="P1373" i="34"/>
  <c r="X1373" i="34"/>
  <c r="Q1373" i="34"/>
  <c r="R1373" i="34"/>
  <c r="V1373" i="34"/>
  <c r="AA1371" i="34"/>
  <c r="P1371" i="34"/>
  <c r="X1371" i="34"/>
  <c r="Q1371" i="34"/>
  <c r="R1371" i="34"/>
  <c r="V1371" i="34"/>
  <c r="AA1369" i="34"/>
  <c r="P1369" i="34"/>
  <c r="X1369" i="34"/>
  <c r="Q1369" i="34"/>
  <c r="R1369" i="34"/>
  <c r="V1369" i="34"/>
  <c r="AA1367" i="34"/>
  <c r="P1367" i="34"/>
  <c r="X1367" i="34"/>
  <c r="Q1367" i="34"/>
  <c r="R1367" i="34"/>
  <c r="V1367" i="34"/>
  <c r="AA1365" i="34"/>
  <c r="P1365" i="34"/>
  <c r="X1365" i="34"/>
  <c r="Q1365" i="34"/>
  <c r="R1365" i="34"/>
  <c r="V1365" i="34"/>
  <c r="AA1363" i="34"/>
  <c r="P1363" i="34"/>
  <c r="X1363" i="34"/>
  <c r="Q1363" i="34"/>
  <c r="R1363" i="34"/>
  <c r="V1363" i="34"/>
  <c r="AA1361" i="34"/>
  <c r="P1361" i="34"/>
  <c r="X1361" i="34"/>
  <c r="Q1361" i="34"/>
  <c r="R1361" i="34"/>
  <c r="V1361" i="34"/>
  <c r="AA1359" i="34"/>
  <c r="P1359" i="34"/>
  <c r="X1359" i="34"/>
  <c r="Q1359" i="34"/>
  <c r="R1359" i="34"/>
  <c r="V1359" i="34"/>
  <c r="AA1357" i="34"/>
  <c r="P1357" i="34"/>
  <c r="X1357" i="34"/>
  <c r="Q1357" i="34"/>
  <c r="R1357" i="34"/>
  <c r="V1357" i="34"/>
  <c r="AA1355" i="34"/>
  <c r="P1355" i="34"/>
  <c r="X1355" i="34"/>
  <c r="Q1355" i="34"/>
  <c r="R1355" i="34"/>
  <c r="V1355" i="34"/>
  <c r="AA1353" i="34"/>
  <c r="P1353" i="34"/>
  <c r="X1353" i="34"/>
  <c r="Q1353" i="34"/>
  <c r="R1353" i="34"/>
  <c r="V1353" i="34"/>
  <c r="Q1350" i="34"/>
  <c r="R1350" i="34"/>
  <c r="V1350" i="34"/>
  <c r="AA1350" i="34"/>
  <c r="P1350" i="34"/>
  <c r="X1350" i="34"/>
  <c r="AA1345" i="34"/>
  <c r="P1345" i="34"/>
  <c r="X1345" i="34"/>
  <c r="Q1345" i="34"/>
  <c r="R1345" i="34"/>
  <c r="V1345" i="34"/>
  <c r="AA1343" i="34"/>
  <c r="P1343" i="34"/>
  <c r="X1343" i="34"/>
  <c r="Q1343" i="34"/>
  <c r="R1343" i="34"/>
  <c r="V1343" i="34"/>
  <c r="AA1341" i="34"/>
  <c r="P1341" i="34"/>
  <c r="X1341" i="34"/>
  <c r="Q1341" i="34"/>
  <c r="R1341" i="34"/>
  <c r="V1341" i="34"/>
  <c r="AA1339" i="34"/>
  <c r="P1339" i="34"/>
  <c r="X1339" i="34"/>
  <c r="Q1339" i="34"/>
  <c r="R1339" i="34"/>
  <c r="V1339" i="34"/>
  <c r="AA1337" i="34"/>
  <c r="P1337" i="34"/>
  <c r="X1337" i="34"/>
  <c r="Q1337" i="34"/>
  <c r="R1337" i="34"/>
  <c r="V1337" i="34"/>
  <c r="Q1648" i="34"/>
  <c r="R1648" i="34"/>
  <c r="V1648" i="34"/>
  <c r="AA1648" i="34"/>
  <c r="P1648" i="34"/>
  <c r="X1648" i="34"/>
  <c r="Q1646" i="34"/>
  <c r="R1646" i="34"/>
  <c r="V1646" i="34"/>
  <c r="AA1646" i="34"/>
  <c r="P1646" i="34"/>
  <c r="X1646" i="34"/>
  <c r="Q1644" i="34"/>
  <c r="R1644" i="34"/>
  <c r="V1644" i="34"/>
  <c r="AA1644" i="34"/>
  <c r="P1644" i="34"/>
  <c r="X1644" i="34"/>
  <c r="Q1642" i="34"/>
  <c r="R1642" i="34"/>
  <c r="V1642" i="34"/>
  <c r="AA1642" i="34"/>
  <c r="P1642" i="34"/>
  <c r="X1642" i="34"/>
  <c r="Q1640" i="34"/>
  <c r="R1640" i="34"/>
  <c r="V1640" i="34"/>
  <c r="AA1640" i="34"/>
  <c r="P1640" i="34"/>
  <c r="X1640" i="34"/>
  <c r="Q1638" i="34"/>
  <c r="R1638" i="34"/>
  <c r="V1638" i="34"/>
  <c r="AA1638" i="34"/>
  <c r="P1638" i="34"/>
  <c r="X1638" i="34"/>
  <c r="Q1636" i="34"/>
  <c r="R1636" i="34"/>
  <c r="V1636" i="34"/>
  <c r="AA1636" i="34"/>
  <c r="P1636" i="34"/>
  <c r="X1636" i="34"/>
  <c r="Q1634" i="34"/>
  <c r="R1634" i="34"/>
  <c r="V1634" i="34"/>
  <c r="AA1634" i="34"/>
  <c r="P1634" i="34"/>
  <c r="X1634" i="34"/>
  <c r="Q1632" i="34"/>
  <c r="R1632" i="34"/>
  <c r="V1632" i="34"/>
  <c r="AA1632" i="34"/>
  <c r="P1632" i="34"/>
  <c r="X1632" i="34"/>
  <c r="Q1630" i="34"/>
  <c r="R1630" i="34"/>
  <c r="V1630" i="34"/>
  <c r="AA1630" i="34"/>
  <c r="P1630" i="34"/>
  <c r="X1630" i="34"/>
  <c r="Q1628" i="34"/>
  <c r="R1628" i="34"/>
  <c r="V1628" i="34"/>
  <c r="AA1628" i="34"/>
  <c r="P1628" i="34"/>
  <c r="X1628" i="34"/>
  <c r="Q1626" i="34"/>
  <c r="R1626" i="34"/>
  <c r="V1626" i="34"/>
  <c r="AA1626" i="34"/>
  <c r="P1626" i="34"/>
  <c r="X1626" i="34"/>
  <c r="Q1624" i="34"/>
  <c r="R1624" i="34"/>
  <c r="V1624" i="34"/>
  <c r="AA1624" i="34"/>
  <c r="P1624" i="34"/>
  <c r="X1624" i="34"/>
  <c r="Q1622" i="34"/>
  <c r="R1622" i="34"/>
  <c r="V1622" i="34"/>
  <c r="AA1622" i="34"/>
  <c r="P1622" i="34"/>
  <c r="X1622" i="34"/>
  <c r="Q1620" i="34"/>
  <c r="R1620" i="34"/>
  <c r="V1620" i="34"/>
  <c r="AA1620" i="34"/>
  <c r="P1620" i="34"/>
  <c r="X1620" i="34"/>
  <c r="Q1618" i="34"/>
  <c r="R1618" i="34"/>
  <c r="V1618" i="34"/>
  <c r="AA1618" i="34"/>
  <c r="P1618" i="34"/>
  <c r="X1618" i="34"/>
  <c r="Q1616" i="34"/>
  <c r="R1616" i="34"/>
  <c r="V1616" i="34"/>
  <c r="AA1616" i="34"/>
  <c r="P1616" i="34"/>
  <c r="X1616" i="34"/>
  <c r="Q1614" i="34"/>
  <c r="R1614" i="34"/>
  <c r="V1614" i="34"/>
  <c r="AA1614" i="34"/>
  <c r="P1614" i="34"/>
  <c r="X1614" i="34"/>
  <c r="Q1612" i="34"/>
  <c r="R1612" i="34"/>
  <c r="V1612" i="34"/>
  <c r="AA1612" i="34"/>
  <c r="P1612" i="34"/>
  <c r="X1612" i="34"/>
  <c r="Q1610" i="34"/>
  <c r="R1610" i="34"/>
  <c r="V1610" i="34"/>
  <c r="AA1610" i="34"/>
  <c r="P1610" i="34"/>
  <c r="X1610" i="34"/>
  <c r="Q1608" i="34"/>
  <c r="R1608" i="34"/>
  <c r="V1608" i="34"/>
  <c r="AA1608" i="34"/>
  <c r="P1608" i="34"/>
  <c r="X1608" i="34"/>
  <c r="Q1606" i="34"/>
  <c r="R1606" i="34"/>
  <c r="V1606" i="34"/>
  <c r="AA1606" i="34"/>
  <c r="P1606" i="34"/>
  <c r="X1606" i="34"/>
  <c r="Q1604" i="34"/>
  <c r="R1604" i="34"/>
  <c r="V1604" i="34"/>
  <c r="AA1604" i="34"/>
  <c r="P1604" i="34"/>
  <c r="X1604" i="34"/>
  <c r="Q1602" i="34"/>
  <c r="R1602" i="34"/>
  <c r="V1602" i="34"/>
  <c r="AA1602" i="34"/>
  <c r="P1602" i="34"/>
  <c r="X1602" i="34"/>
  <c r="Q1600" i="34"/>
  <c r="R1600" i="34"/>
  <c r="V1600" i="34"/>
  <c r="AA1600" i="34"/>
  <c r="P1600" i="34"/>
  <c r="X1600" i="34"/>
  <c r="Q1598" i="34"/>
  <c r="R1598" i="34"/>
  <c r="V1598" i="34"/>
  <c r="AA1598" i="34"/>
  <c r="P1598" i="34"/>
  <c r="X1598" i="34"/>
  <c r="Q1596" i="34"/>
  <c r="R1596" i="34"/>
  <c r="V1596" i="34"/>
  <c r="AA1596" i="34"/>
  <c r="P1596" i="34"/>
  <c r="X1596" i="34"/>
  <c r="Q1594" i="34"/>
  <c r="R1594" i="34"/>
  <c r="V1594" i="34"/>
  <c r="AA1594" i="34"/>
  <c r="P1594" i="34"/>
  <c r="X1594" i="34"/>
  <c r="Q1592" i="34"/>
  <c r="R1592" i="34"/>
  <c r="V1592" i="34"/>
  <c r="AA1592" i="34"/>
  <c r="P1592" i="34"/>
  <c r="X1592" i="34"/>
  <c r="Q1590" i="34"/>
  <c r="R1590" i="34"/>
  <c r="V1590" i="34"/>
  <c r="AA1590" i="34"/>
  <c r="P1590" i="34"/>
  <c r="X1590" i="34"/>
  <c r="Q1588" i="34"/>
  <c r="R1588" i="34"/>
  <c r="V1588" i="34"/>
  <c r="AA1588" i="34"/>
  <c r="P1588" i="34"/>
  <c r="X1588" i="34"/>
  <c r="Q1586" i="34"/>
  <c r="R1586" i="34"/>
  <c r="V1586" i="34"/>
  <c r="AA1586" i="34"/>
  <c r="P1586" i="34"/>
  <c r="X1586" i="34"/>
  <c r="Q1584" i="34"/>
  <c r="R1584" i="34"/>
  <c r="V1584" i="34"/>
  <c r="AA1584" i="34"/>
  <c r="P1584" i="34"/>
  <c r="X1584" i="34"/>
  <c r="Q1582" i="34"/>
  <c r="R1582" i="34"/>
  <c r="V1582" i="34"/>
  <c r="AA1582" i="34"/>
  <c r="P1582" i="34"/>
  <c r="X1582" i="34"/>
  <c r="Q1580" i="34"/>
  <c r="R1580" i="34"/>
  <c r="V1580" i="34"/>
  <c r="AA1580" i="34"/>
  <c r="P1580" i="34"/>
  <c r="X1580" i="34"/>
  <c r="Q1578" i="34"/>
  <c r="R1578" i="34"/>
  <c r="V1578" i="34"/>
  <c r="AA1578" i="34"/>
  <c r="P1578" i="34"/>
  <c r="X1578" i="34"/>
  <c r="Q1576" i="34"/>
  <c r="R1576" i="34"/>
  <c r="V1576" i="34"/>
  <c r="AA1576" i="34"/>
  <c r="P1576" i="34"/>
  <c r="X1576" i="34"/>
  <c r="R1574" i="34"/>
  <c r="P1574" i="34"/>
  <c r="Q1574" i="34"/>
  <c r="V1574" i="34"/>
  <c r="AA1574" i="34"/>
  <c r="X1574" i="34"/>
  <c r="R1572" i="34"/>
  <c r="V1572" i="34"/>
  <c r="P1572" i="34"/>
  <c r="Q1572" i="34"/>
  <c r="AA1572" i="34"/>
  <c r="X1572" i="34"/>
  <c r="R1570" i="34"/>
  <c r="V1570" i="34"/>
  <c r="P1570" i="34"/>
  <c r="Q1570" i="34"/>
  <c r="AA1570" i="34"/>
  <c r="X1570" i="34"/>
  <c r="R1568" i="34"/>
  <c r="V1568" i="34"/>
  <c r="P1568" i="34"/>
  <c r="Q1568" i="34"/>
  <c r="AA1568" i="34"/>
  <c r="X1568" i="34"/>
  <c r="R1566" i="34"/>
  <c r="V1566" i="34"/>
  <c r="P1566" i="34"/>
  <c r="Q1566" i="34"/>
  <c r="AA1566" i="34"/>
  <c r="X1566" i="34"/>
  <c r="R1564" i="34"/>
  <c r="V1564" i="34"/>
  <c r="P1564" i="34"/>
  <c r="Q1564" i="34"/>
  <c r="AA1564" i="34"/>
  <c r="X1564" i="34"/>
  <c r="R1562" i="34"/>
  <c r="V1562" i="34"/>
  <c r="P1562" i="34"/>
  <c r="Q1562" i="34"/>
  <c r="AA1562" i="34"/>
  <c r="X1562" i="34"/>
  <c r="R1560" i="34"/>
  <c r="V1560" i="34"/>
  <c r="P1560" i="34"/>
  <c r="Q1560" i="34"/>
  <c r="AA1560" i="34"/>
  <c r="X1560" i="34"/>
  <c r="R1558" i="34"/>
  <c r="V1558" i="34"/>
  <c r="P1558" i="34"/>
  <c r="Q1558" i="34"/>
  <c r="AA1558" i="34"/>
  <c r="X1558" i="34"/>
  <c r="R1556" i="34"/>
  <c r="V1556" i="34"/>
  <c r="P1556" i="34"/>
  <c r="Q1556" i="34"/>
  <c r="AA1556" i="34"/>
  <c r="X1556" i="34"/>
  <c r="R1554" i="34"/>
  <c r="V1554" i="34"/>
  <c r="P1554" i="34"/>
  <c r="Q1554" i="34"/>
  <c r="AA1554" i="34"/>
  <c r="X1554" i="34"/>
  <c r="R1552" i="34"/>
  <c r="V1552" i="34"/>
  <c r="P1552" i="34"/>
  <c r="Q1552" i="34"/>
  <c r="AA1552" i="34"/>
  <c r="X1552" i="34"/>
  <c r="R1550" i="34"/>
  <c r="V1550" i="34"/>
  <c r="P1550" i="34"/>
  <c r="Q1550" i="34"/>
  <c r="AA1550" i="34"/>
  <c r="X1550" i="34"/>
  <c r="P1548" i="34"/>
  <c r="X1548" i="34"/>
  <c r="R1548" i="34"/>
  <c r="V1548" i="34"/>
  <c r="Q1548" i="34"/>
  <c r="AA1548" i="34"/>
  <c r="P1546" i="34"/>
  <c r="X1546" i="34"/>
  <c r="R1546" i="34"/>
  <c r="V1546" i="34"/>
  <c r="Q1546" i="34"/>
  <c r="AA1546" i="34"/>
  <c r="AA1544" i="34"/>
  <c r="P1544" i="34"/>
  <c r="X1544" i="34"/>
  <c r="R1544" i="34"/>
  <c r="V1544" i="34"/>
  <c r="Q1544" i="34"/>
  <c r="AA1542" i="34"/>
  <c r="P1542" i="34"/>
  <c r="X1542" i="34"/>
  <c r="Q1542" i="34"/>
  <c r="R1542" i="34"/>
  <c r="V1542" i="34"/>
  <c r="AA1540" i="34"/>
  <c r="P1540" i="34"/>
  <c r="X1540" i="34"/>
  <c r="Q1540" i="34"/>
  <c r="R1540" i="34"/>
  <c r="V1540" i="34"/>
  <c r="AA1538" i="34"/>
  <c r="P1538" i="34"/>
  <c r="X1538" i="34"/>
  <c r="Q1538" i="34"/>
  <c r="R1538" i="34"/>
  <c r="V1538" i="34"/>
  <c r="AA1536" i="34"/>
  <c r="P1536" i="34"/>
  <c r="X1536" i="34"/>
  <c r="Q1536" i="34"/>
  <c r="R1536" i="34"/>
  <c r="V1536" i="34"/>
  <c r="AA1534" i="34"/>
  <c r="P1534" i="34"/>
  <c r="X1534" i="34"/>
  <c r="Q1534" i="34"/>
  <c r="R1534" i="34"/>
  <c r="V1534" i="34"/>
  <c r="AA1532" i="34"/>
  <c r="P1532" i="34"/>
  <c r="X1532" i="34"/>
  <c r="Q1532" i="34"/>
  <c r="R1532" i="34"/>
  <c r="V1532" i="34"/>
  <c r="AA1530" i="34"/>
  <c r="P1530" i="34"/>
  <c r="X1530" i="34"/>
  <c r="Q1530" i="34"/>
  <c r="R1530" i="34"/>
  <c r="V1530" i="34"/>
  <c r="AA1528" i="34"/>
  <c r="P1528" i="34"/>
  <c r="X1528" i="34"/>
  <c r="Q1528" i="34"/>
  <c r="R1528" i="34"/>
  <c r="V1528" i="34"/>
  <c r="AA1526" i="34"/>
  <c r="P1526" i="34"/>
  <c r="X1526" i="34"/>
  <c r="Q1526" i="34"/>
  <c r="R1526" i="34"/>
  <c r="V1526" i="34"/>
  <c r="AA1524" i="34"/>
  <c r="P1524" i="34"/>
  <c r="X1524" i="34"/>
  <c r="Q1524" i="34"/>
  <c r="R1524" i="34"/>
  <c r="V1524" i="34"/>
  <c r="AA1522" i="34"/>
  <c r="P1522" i="34"/>
  <c r="X1522" i="34"/>
  <c r="Q1522" i="34"/>
  <c r="R1522" i="34"/>
  <c r="V1522" i="34"/>
  <c r="AA1520" i="34"/>
  <c r="P1520" i="34"/>
  <c r="X1520" i="34"/>
  <c r="Q1520" i="34"/>
  <c r="R1520" i="34"/>
  <c r="V1520" i="34"/>
  <c r="AA1518" i="34"/>
  <c r="P1518" i="34"/>
  <c r="X1518" i="34"/>
  <c r="Q1518" i="34"/>
  <c r="R1518" i="34"/>
  <c r="V1518" i="34"/>
  <c r="AA1516" i="34"/>
  <c r="P1516" i="34"/>
  <c r="X1516" i="34"/>
  <c r="Q1516" i="34"/>
  <c r="R1516" i="34"/>
  <c r="V1516" i="34"/>
  <c r="AA1514" i="34"/>
  <c r="P1514" i="34"/>
  <c r="X1514" i="34"/>
  <c r="Q1514" i="34"/>
  <c r="R1514" i="34"/>
  <c r="V1514" i="34"/>
  <c r="AA1512" i="34"/>
  <c r="P1512" i="34"/>
  <c r="X1512" i="34"/>
  <c r="Q1512" i="34"/>
  <c r="R1512" i="34"/>
  <c r="V1512" i="34"/>
  <c r="AA1510" i="34"/>
  <c r="P1510" i="34"/>
  <c r="X1510" i="34"/>
  <c r="Q1510" i="34"/>
  <c r="R1510" i="34"/>
  <c r="V1510" i="34"/>
  <c r="AA1508" i="34"/>
  <c r="P1508" i="34"/>
  <c r="X1508" i="34"/>
  <c r="Q1508" i="34"/>
  <c r="R1508" i="34"/>
  <c r="V1508" i="34"/>
  <c r="AA1506" i="34"/>
  <c r="P1506" i="34"/>
  <c r="X1506" i="34"/>
  <c r="Q1506" i="34"/>
  <c r="R1506" i="34"/>
  <c r="V1506" i="34"/>
  <c r="AA1504" i="34"/>
  <c r="P1504" i="34"/>
  <c r="X1504" i="34"/>
  <c r="Q1504" i="34"/>
  <c r="R1504" i="34"/>
  <c r="V1504" i="34"/>
  <c r="AA1502" i="34"/>
  <c r="P1502" i="34"/>
  <c r="X1502" i="34"/>
  <c r="Q1502" i="34"/>
  <c r="R1502" i="34"/>
  <c r="V1502" i="34"/>
  <c r="AA1500" i="34"/>
  <c r="P1500" i="34"/>
  <c r="X1500" i="34"/>
  <c r="Q1500" i="34"/>
  <c r="R1500" i="34"/>
  <c r="V1500" i="34"/>
  <c r="AA1498" i="34"/>
  <c r="P1498" i="34"/>
  <c r="X1498" i="34"/>
  <c r="Q1498" i="34"/>
  <c r="R1498" i="34"/>
  <c r="V1498" i="34"/>
  <c r="AA1496" i="34"/>
  <c r="P1496" i="34"/>
  <c r="X1496" i="34"/>
  <c r="Q1496" i="34"/>
  <c r="R1496" i="34"/>
  <c r="V1496" i="34"/>
  <c r="AA1494" i="34"/>
  <c r="P1494" i="34"/>
  <c r="X1494" i="34"/>
  <c r="Q1494" i="34"/>
  <c r="R1494" i="34"/>
  <c r="V1494" i="34"/>
  <c r="AA1492" i="34"/>
  <c r="P1492" i="34"/>
  <c r="X1492" i="34"/>
  <c r="Q1492" i="34"/>
  <c r="R1492" i="34"/>
  <c r="V1492" i="34"/>
  <c r="AA1490" i="34"/>
  <c r="P1490" i="34"/>
  <c r="X1490" i="34"/>
  <c r="Q1490" i="34"/>
  <c r="R1490" i="34"/>
  <c r="V1490" i="34"/>
  <c r="AA1488" i="34"/>
  <c r="P1488" i="34"/>
  <c r="X1488" i="34"/>
  <c r="Q1488" i="34"/>
  <c r="R1488" i="34"/>
  <c r="V1488" i="34"/>
  <c r="AA1486" i="34"/>
  <c r="P1486" i="34"/>
  <c r="X1486" i="34"/>
  <c r="Q1486" i="34"/>
  <c r="R1486" i="34"/>
  <c r="V1486" i="34"/>
  <c r="AA1484" i="34"/>
  <c r="P1484" i="34"/>
  <c r="X1484" i="34"/>
  <c r="Q1484" i="34"/>
  <c r="R1484" i="34"/>
  <c r="V1484" i="34"/>
  <c r="AA1482" i="34"/>
  <c r="P1482" i="34"/>
  <c r="X1482" i="34"/>
  <c r="Q1482" i="34"/>
  <c r="R1482" i="34"/>
  <c r="V1482" i="34"/>
  <c r="AA1480" i="34"/>
  <c r="P1480" i="34"/>
  <c r="X1480" i="34"/>
  <c r="Q1480" i="34"/>
  <c r="R1480" i="34"/>
  <c r="V1480" i="34"/>
  <c r="AA1478" i="34"/>
  <c r="P1478" i="34"/>
  <c r="X1478" i="34"/>
  <c r="Q1478" i="34"/>
  <c r="R1478" i="34"/>
  <c r="V1478" i="34"/>
  <c r="AA1476" i="34"/>
  <c r="P1476" i="34"/>
  <c r="X1476" i="34"/>
  <c r="Q1476" i="34"/>
  <c r="R1476" i="34"/>
  <c r="V1476" i="34"/>
  <c r="P23" i="34"/>
  <c r="X23" i="34"/>
  <c r="Q23" i="34"/>
  <c r="R23" i="34"/>
  <c r="V23" i="34"/>
  <c r="AA23" i="34"/>
  <c r="P27" i="34"/>
  <c r="X27" i="34"/>
  <c r="Q27" i="34"/>
  <c r="R27" i="34"/>
  <c r="V27" i="34"/>
  <c r="AA27" i="34"/>
  <c r="P29" i="34"/>
  <c r="X29" i="34"/>
  <c r="Q29" i="34"/>
  <c r="R29" i="34"/>
  <c r="V29" i="34"/>
  <c r="AA29" i="34"/>
  <c r="R32" i="34"/>
  <c r="V32" i="34"/>
  <c r="AA32" i="34"/>
  <c r="P32" i="34"/>
  <c r="X32" i="34"/>
  <c r="Q32" i="34"/>
  <c r="P35" i="34"/>
  <c r="X35" i="34"/>
  <c r="Q35" i="34"/>
  <c r="R35" i="34"/>
  <c r="V35" i="34"/>
  <c r="AA35" i="34"/>
  <c r="R38" i="34"/>
  <c r="V38" i="34"/>
  <c r="AA38" i="34"/>
  <c r="P38" i="34"/>
  <c r="X38" i="34"/>
  <c r="Q38" i="34"/>
  <c r="P41" i="34"/>
  <c r="X41" i="34"/>
  <c r="Q41" i="34"/>
  <c r="R41" i="34"/>
  <c r="V41" i="34"/>
  <c r="AA41" i="34"/>
  <c r="R44" i="34"/>
  <c r="V44" i="34"/>
  <c r="AA44" i="34"/>
  <c r="P44" i="34"/>
  <c r="X44" i="34"/>
  <c r="Q44" i="34"/>
  <c r="P47" i="34"/>
  <c r="X47" i="34"/>
  <c r="Q47" i="34"/>
  <c r="R47" i="34"/>
  <c r="V47" i="34"/>
  <c r="AA47" i="34"/>
  <c r="R50" i="34"/>
  <c r="V50" i="34"/>
  <c r="P50" i="34"/>
  <c r="X50" i="34"/>
  <c r="Q50" i="34"/>
  <c r="AA50" i="34"/>
  <c r="P53" i="34"/>
  <c r="X53" i="34"/>
  <c r="R53" i="34"/>
  <c r="V53" i="34"/>
  <c r="Q53" i="34"/>
  <c r="AA53" i="34"/>
  <c r="AA56" i="34"/>
  <c r="P56" i="34"/>
  <c r="X56" i="34"/>
  <c r="Q56" i="34"/>
  <c r="R56" i="34"/>
  <c r="V56" i="34"/>
  <c r="Q59" i="34"/>
  <c r="R59" i="34"/>
  <c r="V59" i="34"/>
  <c r="AA59" i="34"/>
  <c r="P59" i="34"/>
  <c r="X59" i="34"/>
  <c r="AA1647" i="34"/>
  <c r="P1647" i="34"/>
  <c r="X1647" i="34"/>
  <c r="Q1647" i="34"/>
  <c r="R1647" i="34"/>
  <c r="V1647" i="34"/>
  <c r="AA1639" i="34"/>
  <c r="P1639" i="34"/>
  <c r="X1639" i="34"/>
  <c r="Q1639" i="34"/>
  <c r="R1639" i="34"/>
  <c r="V1639" i="34"/>
  <c r="AA1631" i="34"/>
  <c r="P1631" i="34"/>
  <c r="X1631" i="34"/>
  <c r="Q1631" i="34"/>
  <c r="R1631" i="34"/>
  <c r="V1631" i="34"/>
  <c r="AA1623" i="34"/>
  <c r="P1623" i="34"/>
  <c r="X1623" i="34"/>
  <c r="Q1623" i="34"/>
  <c r="R1623" i="34"/>
  <c r="V1623" i="34"/>
  <c r="AA1615" i="34"/>
  <c r="P1615" i="34"/>
  <c r="X1615" i="34"/>
  <c r="Q1615" i="34"/>
  <c r="R1615" i="34"/>
  <c r="V1615" i="34"/>
  <c r="AA1607" i="34"/>
  <c r="P1607" i="34"/>
  <c r="X1607" i="34"/>
  <c r="Q1607" i="34"/>
  <c r="R1607" i="34"/>
  <c r="V1607" i="34"/>
  <c r="AA1599" i="34"/>
  <c r="P1599" i="34"/>
  <c r="X1599" i="34"/>
  <c r="Q1599" i="34"/>
  <c r="R1599" i="34"/>
  <c r="V1599" i="34"/>
  <c r="AA1591" i="34"/>
  <c r="P1591" i="34"/>
  <c r="X1591" i="34"/>
  <c r="Q1591" i="34"/>
  <c r="R1591" i="34"/>
  <c r="V1591" i="34"/>
  <c r="AA1583" i="34"/>
  <c r="P1583" i="34"/>
  <c r="X1583" i="34"/>
  <c r="Q1583" i="34"/>
  <c r="R1583" i="34"/>
  <c r="V1583" i="34"/>
  <c r="AA1575" i="34"/>
  <c r="P1575" i="34"/>
  <c r="X1575" i="34"/>
  <c r="Q1575" i="34"/>
  <c r="R1575" i="34"/>
  <c r="V1575" i="34"/>
  <c r="P1567" i="34"/>
  <c r="X1567" i="34"/>
  <c r="Q1567" i="34"/>
  <c r="R1567" i="34"/>
  <c r="V1567" i="34"/>
  <c r="AA1567" i="34"/>
  <c r="P1559" i="34"/>
  <c r="X1559" i="34"/>
  <c r="Q1559" i="34"/>
  <c r="R1559" i="34"/>
  <c r="V1559" i="34"/>
  <c r="AA1559" i="34"/>
  <c r="P1551" i="34"/>
  <c r="X1551" i="34"/>
  <c r="Q1551" i="34"/>
  <c r="R1551" i="34"/>
  <c r="V1551" i="34"/>
  <c r="AA1551" i="34"/>
  <c r="Q1543" i="34"/>
  <c r="R1543" i="34"/>
  <c r="V1543" i="34"/>
  <c r="P1543" i="34"/>
  <c r="X1543" i="34"/>
  <c r="AA1543" i="34"/>
  <c r="Q1535" i="34"/>
  <c r="R1535" i="34"/>
  <c r="V1535" i="34"/>
  <c r="AA1535" i="34"/>
  <c r="P1535" i="34"/>
  <c r="X1535" i="34"/>
  <c r="Q1527" i="34"/>
  <c r="R1527" i="34"/>
  <c r="V1527" i="34"/>
  <c r="AA1527" i="34"/>
  <c r="P1527" i="34"/>
  <c r="X1527" i="34"/>
  <c r="Q1519" i="34"/>
  <c r="R1519" i="34"/>
  <c r="V1519" i="34"/>
  <c r="AA1519" i="34"/>
  <c r="P1519" i="34"/>
  <c r="X1519" i="34"/>
  <c r="Q1511" i="34"/>
  <c r="R1511" i="34"/>
  <c r="V1511" i="34"/>
  <c r="AA1511" i="34"/>
  <c r="P1511" i="34"/>
  <c r="X1511" i="34"/>
  <c r="Q1503" i="34"/>
  <c r="R1503" i="34"/>
  <c r="V1503" i="34"/>
  <c r="AA1503" i="34"/>
  <c r="P1503" i="34"/>
  <c r="X1503" i="34"/>
  <c r="Q1495" i="34"/>
  <c r="R1495" i="34"/>
  <c r="V1495" i="34"/>
  <c r="AA1495" i="34"/>
  <c r="P1495" i="34"/>
  <c r="X1495" i="34"/>
  <c r="Q1487" i="34"/>
  <c r="R1487" i="34"/>
  <c r="V1487" i="34"/>
  <c r="AA1487" i="34"/>
  <c r="P1487" i="34"/>
  <c r="X1487" i="34"/>
  <c r="Q1479" i="34"/>
  <c r="R1479" i="34"/>
  <c r="V1479" i="34"/>
  <c r="AA1479" i="34"/>
  <c r="P1479" i="34"/>
  <c r="X1479" i="34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K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0" i="55"/>
  <c r="K48" i="55"/>
  <c r="K39" i="55"/>
  <c r="K34" i="55"/>
  <c r="K63" i="55"/>
  <c r="K60" i="55"/>
  <c r="K62" i="55"/>
  <c r="K61" i="55"/>
  <c r="K59" i="55"/>
  <c r="K58" i="55"/>
  <c r="K55" i="55"/>
  <c r="K51" i="55"/>
  <c r="K47" i="55"/>
  <c r="K43" i="55"/>
  <c r="K38" i="55"/>
  <c r="K36" i="55"/>
  <c r="K35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43" i="55" l="1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316" i="34"/>
  <c r="K1317" i="34"/>
  <c r="K1318" i="34"/>
  <c r="K1319" i="34"/>
  <c r="K1320" i="34"/>
  <c r="K1321" i="34"/>
  <c r="K1322" i="34"/>
  <c r="K1323" i="34"/>
  <c r="K1324" i="34"/>
  <c r="K1315" i="34"/>
  <c r="C1315" i="34"/>
  <c r="C1316" i="34"/>
  <c r="C1317" i="34"/>
  <c r="C1318" i="34"/>
  <c r="C1319" i="34"/>
  <c r="C1320" i="34"/>
  <c r="C1321" i="34"/>
  <c r="C1322" i="34"/>
  <c r="C1323" i="34"/>
  <c r="C1324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1240" i="34"/>
  <c r="B1240" i="34" s="1"/>
  <c r="AC950" i="34"/>
  <c r="C950" i="34"/>
  <c r="B950" i="34" s="1"/>
  <c r="AC1090" i="34"/>
  <c r="C1090" i="34"/>
  <c r="B1090" i="34" s="1"/>
  <c r="Q1090" i="34" l="1"/>
  <c r="R1090" i="34"/>
  <c r="V1090" i="34"/>
  <c r="AA1090" i="34"/>
  <c r="P1090" i="34"/>
  <c r="X1090" i="34"/>
  <c r="Q1240" i="34"/>
  <c r="U1240" i="34"/>
  <c r="R1240" i="34"/>
  <c r="V1240" i="34"/>
  <c r="S1240" i="34"/>
  <c r="AA1240" i="34"/>
  <c r="P1240" i="34"/>
  <c r="T1240" i="34"/>
  <c r="X1240" i="34"/>
  <c r="Q950" i="34"/>
  <c r="R950" i="34"/>
  <c r="V950" i="34"/>
  <c r="AA950" i="34"/>
  <c r="P950" i="34"/>
  <c r="X950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240" i="34"/>
  <c r="A950" i="34"/>
  <c r="A1090" i="34"/>
  <c r="A23" i="12"/>
  <c r="A24" i="12"/>
  <c r="C1159" i="34"/>
  <c r="B1159" i="34" s="1"/>
  <c r="C1116" i="34"/>
  <c r="B1116" i="34" s="1"/>
  <c r="C1133" i="34"/>
  <c r="B1133" i="34" s="1"/>
  <c r="C1096" i="34"/>
  <c r="B1096" i="34" s="1"/>
  <c r="AA1159" i="34" l="1"/>
  <c r="P1159" i="34"/>
  <c r="X1159" i="34"/>
  <c r="Q1159" i="34"/>
  <c r="R1159" i="34"/>
  <c r="V1159" i="34"/>
  <c r="Q1096" i="34"/>
  <c r="R1096" i="34"/>
  <c r="V1096" i="34"/>
  <c r="AA1096" i="34"/>
  <c r="P1096" i="34"/>
  <c r="X1096" i="34"/>
  <c r="AA1133" i="34"/>
  <c r="P1133" i="34"/>
  <c r="X1133" i="34"/>
  <c r="Q1133" i="34"/>
  <c r="R1133" i="34"/>
  <c r="V1133" i="34"/>
  <c r="Q1116" i="34"/>
  <c r="R1116" i="34"/>
  <c r="V1116" i="34"/>
  <c r="AA1116" i="34"/>
  <c r="P1116" i="34"/>
  <c r="X1116" i="34"/>
  <c r="A1159" i="34"/>
  <c r="A1116" i="34"/>
  <c r="A1133" i="34"/>
  <c r="A1096" i="34"/>
  <c r="C1093" i="34" l="1"/>
  <c r="B1093" i="34" s="1"/>
  <c r="C1082" i="34"/>
  <c r="B1082" i="34" s="1"/>
  <c r="AC1058" i="34"/>
  <c r="C1058" i="34"/>
  <c r="B1058" i="34" s="1"/>
  <c r="AC1189" i="34"/>
  <c r="C1189" i="34"/>
  <c r="B1189" i="34" s="1"/>
  <c r="AC1184" i="34"/>
  <c r="C1184" i="34"/>
  <c r="B1184" i="34" s="1"/>
  <c r="AC1181" i="34"/>
  <c r="C1181" i="34"/>
  <c r="B1181" i="34" s="1"/>
  <c r="C1182" i="34"/>
  <c r="B1182" i="34" s="1"/>
  <c r="AC980" i="34"/>
  <c r="C980" i="34"/>
  <c r="B980" i="34" s="1"/>
  <c r="Q1182" i="34" l="1"/>
  <c r="R1182" i="34"/>
  <c r="V1182" i="34"/>
  <c r="AA1182" i="34"/>
  <c r="P1182" i="34"/>
  <c r="X1182" i="34"/>
  <c r="AA1181" i="34"/>
  <c r="P1181" i="34"/>
  <c r="X1181" i="34"/>
  <c r="Q1181" i="34"/>
  <c r="R1181" i="34"/>
  <c r="V1181" i="34"/>
  <c r="Q1082" i="34"/>
  <c r="R1082" i="34"/>
  <c r="V1082" i="34"/>
  <c r="AA1082" i="34"/>
  <c r="P1082" i="34"/>
  <c r="X1082" i="34"/>
  <c r="Q1184" i="34"/>
  <c r="R1184" i="34"/>
  <c r="V1184" i="34"/>
  <c r="AA1184" i="34"/>
  <c r="P1184" i="34"/>
  <c r="X1184" i="34"/>
  <c r="Q1058" i="34"/>
  <c r="R1058" i="34"/>
  <c r="V1058" i="34"/>
  <c r="AA1058" i="34"/>
  <c r="P1058" i="34"/>
  <c r="X1058" i="34"/>
  <c r="AA1189" i="34"/>
  <c r="P1189" i="34"/>
  <c r="X1189" i="34"/>
  <c r="Q1189" i="34"/>
  <c r="R1189" i="34"/>
  <c r="V1189" i="34"/>
  <c r="Q980" i="34"/>
  <c r="R980" i="34"/>
  <c r="V980" i="34"/>
  <c r="AA980" i="34"/>
  <c r="P980" i="34"/>
  <c r="X980" i="34"/>
  <c r="AA1093" i="34"/>
  <c r="P1093" i="34"/>
  <c r="X1093" i="34"/>
  <c r="Q1093" i="34"/>
  <c r="R1093" i="34"/>
  <c r="V1093" i="34"/>
  <c r="A1058" i="34"/>
  <c r="A1093" i="34"/>
  <c r="A1082" i="34"/>
  <c r="A1189" i="34"/>
  <c r="A1184" i="34"/>
  <c r="A1181" i="34"/>
  <c r="A1182" i="34"/>
  <c r="A980" i="34"/>
  <c r="AC990" i="34"/>
  <c r="AC989" i="34"/>
  <c r="C989" i="34"/>
  <c r="B989" i="34" s="1"/>
  <c r="AC984" i="34"/>
  <c r="AC983" i="34"/>
  <c r="C983" i="34"/>
  <c r="B983" i="34" s="1"/>
  <c r="AC959" i="34"/>
  <c r="AC958" i="34"/>
  <c r="C958" i="34"/>
  <c r="B958" i="34" s="1"/>
  <c r="AC948" i="34"/>
  <c r="AC947" i="34"/>
  <c r="C947" i="34"/>
  <c r="B947" i="34" s="1"/>
  <c r="AC941" i="34"/>
  <c r="C941" i="34"/>
  <c r="B941" i="34" s="1"/>
  <c r="AC1104" i="34"/>
  <c r="C1104" i="34"/>
  <c r="B1104" i="34" s="1"/>
  <c r="C1120" i="34"/>
  <c r="B1120" i="34" s="1"/>
  <c r="C1145" i="34"/>
  <c r="B1145" i="34" s="1"/>
  <c r="C1147" i="34"/>
  <c r="B1147" i="34" s="1"/>
  <c r="C1154" i="34"/>
  <c r="B1154" i="34" s="1"/>
  <c r="C1156" i="34"/>
  <c r="B1156" i="34" s="1"/>
  <c r="AC1235" i="34"/>
  <c r="AC1232" i="34"/>
  <c r="AC1234" i="34"/>
  <c r="C1234" i="34"/>
  <c r="B1234" i="34" s="1"/>
  <c r="AC1231" i="34"/>
  <c r="C1231" i="34"/>
  <c r="B1231" i="34" s="1"/>
  <c r="AC1229" i="34"/>
  <c r="AC1228" i="34"/>
  <c r="C1228" i="34"/>
  <c r="B1228" i="34" s="1"/>
  <c r="AC1226" i="34"/>
  <c r="C1226" i="34"/>
  <c r="B1226" i="34" s="1"/>
  <c r="AC1220" i="34"/>
  <c r="C1220" i="34"/>
  <c r="B1220" i="34" s="1"/>
  <c r="AC1213" i="34"/>
  <c r="C1213" i="34"/>
  <c r="B1213" i="34" s="1"/>
  <c r="AC1208" i="34"/>
  <c r="C1208" i="34"/>
  <c r="B1208" i="34" s="1"/>
  <c r="AC1204" i="34"/>
  <c r="C1204" i="34"/>
  <c r="B1204" i="34" s="1"/>
  <c r="AC1175" i="34"/>
  <c r="C1175" i="34"/>
  <c r="B1175" i="34" s="1"/>
  <c r="AC1168" i="34"/>
  <c r="C1168" i="34"/>
  <c r="B1168" i="34" s="1"/>
  <c r="AC911" i="34"/>
  <c r="C911" i="34"/>
  <c r="B911" i="34" s="1"/>
  <c r="AC905" i="34"/>
  <c r="C905" i="34"/>
  <c r="B905" i="34" s="1"/>
  <c r="AC903" i="34"/>
  <c r="C903" i="34"/>
  <c r="B903" i="34" s="1"/>
  <c r="AA903" i="34" l="1"/>
  <c r="P903" i="34"/>
  <c r="X903" i="34"/>
  <c r="Q903" i="34"/>
  <c r="R903" i="34"/>
  <c r="V903" i="34"/>
  <c r="AA1175" i="34"/>
  <c r="P1175" i="34"/>
  <c r="X1175" i="34"/>
  <c r="Q1175" i="34"/>
  <c r="R1175" i="34"/>
  <c r="V1175" i="34"/>
  <c r="Q1228" i="34"/>
  <c r="R1228" i="34"/>
  <c r="V1228" i="34"/>
  <c r="AA1228" i="34"/>
  <c r="P1228" i="34"/>
  <c r="X1228" i="34"/>
  <c r="Q1234" i="34"/>
  <c r="R1234" i="34"/>
  <c r="V1234" i="34"/>
  <c r="AA1234" i="34"/>
  <c r="P1234" i="34"/>
  <c r="X1234" i="34"/>
  <c r="Q1120" i="34"/>
  <c r="R1120" i="34"/>
  <c r="V1120" i="34"/>
  <c r="AA1120" i="34"/>
  <c r="P1120" i="34"/>
  <c r="X1120" i="34"/>
  <c r="AA905" i="34"/>
  <c r="P905" i="34"/>
  <c r="X905" i="34"/>
  <c r="Q905" i="34"/>
  <c r="R905" i="34"/>
  <c r="V905" i="34"/>
  <c r="Q1168" i="34"/>
  <c r="R1168" i="34"/>
  <c r="V1168" i="34"/>
  <c r="AA1168" i="34"/>
  <c r="P1168" i="34"/>
  <c r="X1168" i="34"/>
  <c r="Q1204" i="34"/>
  <c r="R1204" i="34"/>
  <c r="V1204" i="34"/>
  <c r="AA1204" i="34"/>
  <c r="P1204" i="34"/>
  <c r="X1204" i="34"/>
  <c r="AA1213" i="34"/>
  <c r="P1213" i="34"/>
  <c r="X1213" i="34"/>
  <c r="Q1213" i="34"/>
  <c r="R1213" i="34"/>
  <c r="V1213" i="34"/>
  <c r="Q1226" i="34"/>
  <c r="R1226" i="34"/>
  <c r="V1226" i="34"/>
  <c r="AA1226" i="34"/>
  <c r="P1226" i="34"/>
  <c r="X1226" i="34"/>
  <c r="Q1154" i="34"/>
  <c r="R1154" i="34"/>
  <c r="V1154" i="34"/>
  <c r="AA1154" i="34"/>
  <c r="P1154" i="34"/>
  <c r="X1154" i="34"/>
  <c r="Q1104" i="34"/>
  <c r="R1104" i="34"/>
  <c r="V1104" i="34"/>
  <c r="AA1104" i="34"/>
  <c r="P1104" i="34"/>
  <c r="X1104" i="34"/>
  <c r="AA947" i="34"/>
  <c r="P947" i="34"/>
  <c r="X947" i="34"/>
  <c r="Q947" i="34"/>
  <c r="R947" i="34"/>
  <c r="V947" i="34"/>
  <c r="AA1231" i="34"/>
  <c r="P1231" i="34"/>
  <c r="X1231" i="34"/>
  <c r="Q1231" i="34"/>
  <c r="R1231" i="34"/>
  <c r="V1231" i="34"/>
  <c r="AA1147" i="34"/>
  <c r="P1147" i="34"/>
  <c r="X1147" i="34"/>
  <c r="Q1147" i="34"/>
  <c r="R1147" i="34"/>
  <c r="V1147" i="34"/>
  <c r="AA989" i="34"/>
  <c r="P989" i="34"/>
  <c r="X989" i="34"/>
  <c r="Q989" i="34"/>
  <c r="R989" i="34"/>
  <c r="V989" i="34"/>
  <c r="AA911" i="34"/>
  <c r="P911" i="34"/>
  <c r="X911" i="34"/>
  <c r="Q911" i="34"/>
  <c r="R911" i="34"/>
  <c r="V911" i="34"/>
  <c r="Q1220" i="34"/>
  <c r="R1220" i="34"/>
  <c r="V1220" i="34"/>
  <c r="AA1220" i="34"/>
  <c r="P1220" i="34"/>
  <c r="X1220" i="34"/>
  <c r="AA1145" i="34"/>
  <c r="P1145" i="34"/>
  <c r="X1145" i="34"/>
  <c r="Q1145" i="34"/>
  <c r="R1145" i="34"/>
  <c r="V1145" i="34"/>
  <c r="AA941" i="34"/>
  <c r="P941" i="34"/>
  <c r="X941" i="34"/>
  <c r="Q941" i="34"/>
  <c r="R941" i="34"/>
  <c r="V941" i="34"/>
  <c r="AA983" i="34"/>
  <c r="P983" i="34"/>
  <c r="X983" i="34"/>
  <c r="Q983" i="34"/>
  <c r="R983" i="34"/>
  <c r="V983" i="34"/>
  <c r="Q1208" i="34"/>
  <c r="R1208" i="34"/>
  <c r="V1208" i="34"/>
  <c r="AA1208" i="34"/>
  <c r="P1208" i="34"/>
  <c r="X1208" i="34"/>
  <c r="Q1156" i="34"/>
  <c r="R1156" i="34"/>
  <c r="V1156" i="34"/>
  <c r="AA1156" i="34"/>
  <c r="P1156" i="34"/>
  <c r="X1156" i="34"/>
  <c r="Q958" i="34"/>
  <c r="R958" i="34"/>
  <c r="V958" i="34"/>
  <c r="AA958" i="34"/>
  <c r="P958" i="34"/>
  <c r="X958" i="34"/>
  <c r="A989" i="34"/>
  <c r="A983" i="34"/>
  <c r="A941" i="34"/>
  <c r="A958" i="34"/>
  <c r="A947" i="34"/>
  <c r="A1104" i="34"/>
  <c r="A1147" i="34"/>
  <c r="A1145" i="34"/>
  <c r="A1120" i="34"/>
  <c r="A1154" i="34"/>
  <c r="A1156" i="34"/>
  <c r="A1226" i="34"/>
  <c r="A1208" i="34"/>
  <c r="A1234" i="34"/>
  <c r="A1168" i="34"/>
  <c r="A1231" i="34"/>
  <c r="A1228" i="34"/>
  <c r="A1220" i="34"/>
  <c r="A1213" i="34"/>
  <c r="A1204" i="34"/>
  <c r="A1175" i="34"/>
  <c r="A911" i="34"/>
  <c r="A905" i="34"/>
  <c r="A903" i="34"/>
  <c r="C1276" i="34"/>
  <c r="B1276" i="34" s="1"/>
  <c r="Q1276" i="34" l="1"/>
  <c r="U1276" i="34"/>
  <c r="R1276" i="34"/>
  <c r="V1276" i="34"/>
  <c r="S1276" i="34"/>
  <c r="AA1276" i="34"/>
  <c r="P1276" i="34"/>
  <c r="T1276" i="34"/>
  <c r="X1276" i="34"/>
  <c r="A1276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275" i="34" l="1"/>
  <c r="B1275" i="34" s="1"/>
  <c r="S1275" i="34" l="1"/>
  <c r="AA1275" i="34"/>
  <c r="P1275" i="34"/>
  <c r="T1275" i="34"/>
  <c r="X1275" i="34"/>
  <c r="Q1275" i="34"/>
  <c r="U1275" i="34"/>
  <c r="R1275" i="34"/>
  <c r="V1275" i="34"/>
  <c r="A1275" i="34"/>
  <c r="A5" i="81"/>
  <c r="A6" i="81"/>
  <c r="A8" i="81"/>
  <c r="A9" i="81"/>
  <c r="A10" i="81"/>
  <c r="A7" i="81"/>
  <c r="A11" i="81"/>
  <c r="A12" i="81"/>
  <c r="A4" i="81"/>
  <c r="C1239" i="34"/>
  <c r="B1239" i="34" s="1"/>
  <c r="S1239" i="34" l="1"/>
  <c r="AA1239" i="34"/>
  <c r="P1239" i="34"/>
  <c r="T1239" i="34"/>
  <c r="X1239" i="34"/>
  <c r="Q1239" i="34"/>
  <c r="U1239" i="34"/>
  <c r="R1239" i="34"/>
  <c r="V1239" i="34"/>
  <c r="A1239" i="34"/>
  <c r="C1297" i="34" l="1"/>
  <c r="B1297" i="34" s="1"/>
  <c r="C1263" i="34"/>
  <c r="B1263" i="34" s="1"/>
  <c r="C1261" i="34"/>
  <c r="B1261" i="34" s="1"/>
  <c r="C1255" i="34"/>
  <c r="C1256" i="34"/>
  <c r="C1257" i="34"/>
  <c r="C1258" i="34"/>
  <c r="C1259" i="34"/>
  <c r="C1260" i="34"/>
  <c r="C1262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233" i="34"/>
  <c r="AC1230" i="34"/>
  <c r="AC1227" i="34"/>
  <c r="AC1225" i="34"/>
  <c r="AC1224" i="34"/>
  <c r="AC1222" i="34"/>
  <c r="AC1221" i="34"/>
  <c r="AC1219" i="34"/>
  <c r="AC1218" i="34"/>
  <c r="AC1215" i="34"/>
  <c r="AC1214" i="34"/>
  <c r="AC1212" i="34"/>
  <c r="AC1211" i="34"/>
  <c r="AC1207" i="34"/>
  <c r="AC1206" i="34"/>
  <c r="AC1205" i="34"/>
  <c r="AC1203" i="34"/>
  <c r="AC1202" i="34"/>
  <c r="AC1201" i="34"/>
  <c r="AC1199" i="34"/>
  <c r="AC1195" i="34"/>
  <c r="AC1194" i="34"/>
  <c r="AC1192" i="34"/>
  <c r="AC1191" i="34"/>
  <c r="AC1188" i="34"/>
  <c r="AC1183" i="34"/>
  <c r="AC1180" i="34"/>
  <c r="AC1178" i="34"/>
  <c r="AC1177" i="34"/>
  <c r="AC1176" i="34"/>
  <c r="AC1174" i="34"/>
  <c r="AC1169" i="34"/>
  <c r="AC1167" i="34"/>
  <c r="AC1161" i="34"/>
  <c r="AC1160" i="34"/>
  <c r="AC1149" i="34"/>
  <c r="AC1148" i="34"/>
  <c r="AC1146" i="34"/>
  <c r="AC1144" i="34"/>
  <c r="AC1143" i="34"/>
  <c r="AC1142" i="34"/>
  <c r="AC1127" i="34"/>
  <c r="AC1126" i="34"/>
  <c r="AC1125" i="34"/>
  <c r="AC1124" i="34"/>
  <c r="AC1123" i="34"/>
  <c r="AC1122" i="34"/>
  <c r="AC1121" i="34"/>
  <c r="AC1119" i="34"/>
  <c r="AC1118" i="34"/>
  <c r="AC1117" i="34"/>
  <c r="AC1111" i="34"/>
  <c r="AC1110" i="34"/>
  <c r="AC1109" i="34"/>
  <c r="AC1108" i="34"/>
  <c r="AC1107" i="34"/>
  <c r="AC1106" i="34"/>
  <c r="AC1105" i="34"/>
  <c r="AC1103" i="34"/>
  <c r="AC1102" i="34"/>
  <c r="AC1101" i="34"/>
  <c r="AC1100" i="34"/>
  <c r="AC1099" i="34"/>
  <c r="AC1098" i="34"/>
  <c r="AC1097" i="34"/>
  <c r="AC1092" i="34"/>
  <c r="AC1091" i="34"/>
  <c r="AC1089" i="34"/>
  <c r="AC1088" i="34"/>
  <c r="AC1087" i="34"/>
  <c r="AC1086" i="34"/>
  <c r="AC1079" i="34"/>
  <c r="AC1078" i="34"/>
  <c r="AC1077" i="34"/>
  <c r="AC1076" i="34"/>
  <c r="AC1073" i="34"/>
  <c r="AC1072" i="34"/>
  <c r="AC1071" i="34"/>
  <c r="AC1070" i="34"/>
  <c r="AC1067" i="34"/>
  <c r="AC1066" i="34"/>
  <c r="AC1065" i="34"/>
  <c r="AC1064" i="34"/>
  <c r="AC1063" i="34"/>
  <c r="AC1062" i="34"/>
  <c r="AC1061" i="34"/>
  <c r="AC1060" i="34"/>
  <c r="AC1059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2" i="34"/>
  <c r="AC1041" i="34"/>
  <c r="AC1040" i="34"/>
  <c r="AC1039" i="34"/>
  <c r="AC1029" i="34"/>
  <c r="AC1028" i="34"/>
  <c r="AC1027" i="34"/>
  <c r="AC1026" i="34"/>
  <c r="AC1025" i="34"/>
  <c r="AC1024" i="34"/>
  <c r="AC1023" i="34"/>
  <c r="AC1022" i="34"/>
  <c r="AC1021" i="34"/>
  <c r="AC1020" i="34"/>
  <c r="AC1019" i="34"/>
  <c r="AC1018" i="34"/>
  <c r="AC1017" i="34"/>
  <c r="AC1016" i="34"/>
  <c r="AC1015" i="34"/>
  <c r="AC1014" i="34"/>
  <c r="AC1013" i="34"/>
  <c r="AC1012" i="34"/>
  <c r="AC1011" i="34"/>
  <c r="AC1010" i="34"/>
  <c r="AC1009" i="34"/>
  <c r="AC1008" i="34"/>
  <c r="AC1007" i="34"/>
  <c r="AC1006" i="34"/>
  <c r="AC1005" i="34"/>
  <c r="AC1004" i="34"/>
  <c r="AC1003" i="34"/>
  <c r="AC1002" i="34"/>
  <c r="AC1001" i="34"/>
  <c r="AC1000" i="34"/>
  <c r="AC999" i="34"/>
  <c r="AC998" i="34"/>
  <c r="AC996" i="34"/>
  <c r="AC995" i="34"/>
  <c r="AC988" i="34"/>
  <c r="AC987" i="34"/>
  <c r="AC986" i="34"/>
  <c r="AC985" i="34"/>
  <c r="AC982" i="34"/>
  <c r="AC981" i="34"/>
  <c r="AC979" i="34"/>
  <c r="AC978" i="34"/>
  <c r="AC977" i="34"/>
  <c r="AC976" i="34"/>
  <c r="AC975" i="34"/>
  <c r="AC974" i="34"/>
  <c r="AC973" i="34"/>
  <c r="AC972" i="34"/>
  <c r="AC971" i="34"/>
  <c r="AC970" i="34"/>
  <c r="AC968" i="34"/>
  <c r="AC967" i="34"/>
  <c r="AC966" i="34"/>
  <c r="AC965" i="34"/>
  <c r="AC964" i="34"/>
  <c r="AC963" i="34"/>
  <c r="AC962" i="34"/>
  <c r="AC961" i="34"/>
  <c r="AC960" i="34"/>
  <c r="AC957" i="34"/>
  <c r="AC956" i="34"/>
  <c r="AC955" i="34"/>
  <c r="AC954" i="34"/>
  <c r="AC953" i="34"/>
  <c r="AC952" i="34"/>
  <c r="AC949" i="34"/>
  <c r="AC946" i="34"/>
  <c r="AC945" i="34"/>
  <c r="AC942" i="34"/>
  <c r="AC940" i="34"/>
  <c r="AC910" i="34"/>
  <c r="AC909" i="34"/>
  <c r="AC906" i="34"/>
  <c r="AC904" i="34"/>
  <c r="AC902" i="34"/>
  <c r="AC901" i="34"/>
  <c r="A15" i="12"/>
  <c r="A16" i="12"/>
  <c r="A17" i="12"/>
  <c r="A18" i="12"/>
  <c r="A19" i="12"/>
  <c r="A20" i="12"/>
  <c r="A21" i="12"/>
  <c r="A22" i="12"/>
  <c r="S1261" i="34" l="1"/>
  <c r="AA1261" i="34"/>
  <c r="P1261" i="34"/>
  <c r="T1261" i="34"/>
  <c r="X1261" i="34"/>
  <c r="Q1261" i="34"/>
  <c r="U1261" i="34"/>
  <c r="R1261" i="34"/>
  <c r="V1261" i="34"/>
  <c r="S1263" i="34"/>
  <c r="AA1263" i="34"/>
  <c r="P1263" i="34"/>
  <c r="T1263" i="34"/>
  <c r="X1263" i="34"/>
  <c r="Q1263" i="34"/>
  <c r="U1263" i="34"/>
  <c r="R1263" i="34"/>
  <c r="V1263" i="34"/>
  <c r="S1297" i="34"/>
  <c r="AA1297" i="34"/>
  <c r="P1297" i="34"/>
  <c r="T1297" i="34"/>
  <c r="X1297" i="34"/>
  <c r="Q1297" i="34"/>
  <c r="U1297" i="34"/>
  <c r="R1297" i="34"/>
  <c r="V1297" i="34"/>
  <c r="A1297" i="34"/>
  <c r="A1263" i="34"/>
  <c r="A1261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03" i="34" l="1"/>
  <c r="K1113" i="34"/>
  <c r="K1069" i="34"/>
  <c r="C919" i="34"/>
  <c r="B919" i="34" s="1"/>
  <c r="C918" i="34"/>
  <c r="B918" i="34" s="1"/>
  <c r="Q918" i="34" l="1"/>
  <c r="R918" i="34"/>
  <c r="V918" i="34"/>
  <c r="AA918" i="34"/>
  <c r="P918" i="34"/>
  <c r="X918" i="34"/>
  <c r="AA919" i="34"/>
  <c r="P919" i="34"/>
  <c r="X919" i="34"/>
  <c r="Q919" i="34"/>
  <c r="R919" i="34"/>
  <c r="V919" i="34"/>
  <c r="A919" i="34"/>
  <c r="A918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952" i="34"/>
  <c r="B952" i="34" s="1"/>
  <c r="Q952" i="34" l="1"/>
  <c r="R952" i="34"/>
  <c r="V952" i="34"/>
  <c r="AA952" i="34"/>
  <c r="P952" i="34"/>
  <c r="X952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952" i="34"/>
  <c r="C945" i="34"/>
  <c r="B945" i="34" s="1"/>
  <c r="AA945" i="34" l="1"/>
  <c r="P945" i="34"/>
  <c r="X945" i="34"/>
  <c r="Q945" i="34"/>
  <c r="R945" i="34"/>
  <c r="V945" i="34"/>
  <c r="J53" i="80"/>
  <c r="J134" i="80"/>
  <c r="L60" i="80"/>
  <c r="A945" i="34"/>
  <c r="AC711" i="34" l="1"/>
  <c r="AC709" i="34"/>
  <c r="AC708" i="34"/>
  <c r="AC707" i="34"/>
  <c r="AC706" i="34"/>
  <c r="AC704" i="34"/>
  <c r="AC703" i="34"/>
  <c r="AC702" i="34"/>
  <c r="AC701" i="34"/>
  <c r="AC699" i="34"/>
  <c r="AC697" i="34"/>
  <c r="AC696" i="34"/>
  <c r="AC694" i="34"/>
  <c r="AC692" i="34"/>
  <c r="AC691" i="34"/>
  <c r="AC689" i="34"/>
  <c r="AC688" i="34"/>
  <c r="AC686" i="34"/>
  <c r="AC684" i="34"/>
  <c r="AC682" i="34"/>
  <c r="AC681" i="34"/>
  <c r="AC680" i="34"/>
  <c r="AC678" i="34"/>
  <c r="AC677" i="34"/>
  <c r="AC676" i="34"/>
  <c r="AC675" i="34"/>
  <c r="AC673" i="34"/>
  <c r="AC672" i="34"/>
  <c r="AC670" i="34"/>
  <c r="AC668" i="34"/>
  <c r="AC666" i="34"/>
  <c r="AC665" i="34"/>
  <c r="AC664" i="34"/>
  <c r="AC663" i="34"/>
  <c r="AC662" i="34"/>
  <c r="AC661" i="34"/>
  <c r="AC660" i="34"/>
  <c r="AC659" i="34"/>
  <c r="AC658" i="34"/>
  <c r="AC657" i="34"/>
  <c r="AC655" i="34"/>
  <c r="AC654" i="34"/>
  <c r="AC653" i="34"/>
  <c r="AC652" i="34"/>
  <c r="AC650" i="34"/>
  <c r="AC648" i="34"/>
  <c r="AC647" i="34"/>
  <c r="AC645" i="34"/>
  <c r="AC643" i="34"/>
  <c r="AC641" i="34"/>
  <c r="AC640" i="34"/>
  <c r="AC638" i="34"/>
  <c r="AC636" i="34"/>
  <c r="AC635" i="34"/>
  <c r="AC634" i="34"/>
  <c r="AC632" i="34"/>
  <c r="AC631" i="34"/>
  <c r="AC630" i="34"/>
  <c r="AC628" i="34"/>
  <c r="AC627" i="34"/>
  <c r="AC625" i="34"/>
  <c r="AC623" i="34"/>
  <c r="AC621" i="34"/>
  <c r="AC619" i="34"/>
  <c r="AC617" i="34"/>
  <c r="AC615" i="34"/>
  <c r="AC613" i="34"/>
  <c r="AC611" i="34"/>
  <c r="AC610" i="34"/>
  <c r="AC609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6" i="34"/>
  <c r="AC585" i="34"/>
  <c r="AC584" i="34"/>
  <c r="AC582" i="34"/>
  <c r="AC580" i="34"/>
  <c r="AC578" i="34"/>
  <c r="AC577" i="34"/>
  <c r="AC575" i="34"/>
  <c r="AC574" i="34"/>
  <c r="AC573" i="34"/>
  <c r="AC571" i="34"/>
  <c r="AC569" i="34"/>
  <c r="AC568" i="34"/>
  <c r="AC567" i="34"/>
  <c r="AC566" i="34"/>
  <c r="AC564" i="34"/>
  <c r="AC563" i="34"/>
  <c r="AC562" i="34"/>
  <c r="AC561" i="34"/>
  <c r="AC559" i="34"/>
  <c r="AC557" i="34"/>
  <c r="AC555" i="34"/>
  <c r="AC553" i="34"/>
  <c r="AC552" i="34"/>
  <c r="AC551" i="34"/>
  <c r="AC549" i="34"/>
  <c r="AC548" i="34"/>
  <c r="AC546" i="34"/>
  <c r="AC544" i="34"/>
  <c r="AC543" i="34"/>
  <c r="AC542" i="34"/>
  <c r="AC540" i="34"/>
  <c r="AC539" i="34"/>
  <c r="AC538" i="34"/>
  <c r="AC537" i="34"/>
  <c r="AC536" i="34"/>
  <c r="AC535" i="34"/>
  <c r="AC534" i="34"/>
  <c r="AC533" i="34"/>
  <c r="AC532" i="34"/>
  <c r="AC530" i="34"/>
  <c r="AC528" i="34"/>
  <c r="AC527" i="34"/>
  <c r="AC525" i="34"/>
  <c r="AC524" i="34"/>
  <c r="AC522" i="34"/>
  <c r="AC520" i="34"/>
  <c r="AC519" i="34"/>
  <c r="AC517" i="34"/>
  <c r="AC516" i="34"/>
  <c r="AC515" i="34"/>
  <c r="AC513" i="34"/>
  <c r="AC511" i="34"/>
  <c r="AC510" i="34"/>
  <c r="AC509" i="34"/>
  <c r="AC507" i="34"/>
  <c r="AC506" i="34"/>
  <c r="AC504" i="34"/>
  <c r="AC502" i="34"/>
  <c r="AC501" i="34"/>
  <c r="AC499" i="34"/>
  <c r="AC498" i="34"/>
  <c r="AC496" i="34"/>
  <c r="AC494" i="34"/>
  <c r="AC492" i="34"/>
  <c r="AC491" i="34"/>
  <c r="AC489" i="34"/>
  <c r="AC488" i="34"/>
  <c r="AC487" i="34"/>
  <c r="AC486" i="34"/>
  <c r="AC484" i="34"/>
  <c r="AC482" i="34"/>
  <c r="AC481" i="34"/>
  <c r="AC480" i="34"/>
  <c r="AC479" i="34"/>
  <c r="AC478" i="34"/>
  <c r="AC477" i="34"/>
  <c r="AC476" i="34"/>
  <c r="AC475" i="34"/>
  <c r="AC473" i="34"/>
  <c r="AC471" i="34"/>
  <c r="AC468" i="34"/>
  <c r="AC467" i="34"/>
  <c r="AC466" i="34"/>
  <c r="AC465" i="34"/>
  <c r="AC463" i="34"/>
  <c r="AC462" i="34"/>
  <c r="AC460" i="34"/>
  <c r="AC458" i="34"/>
  <c r="AC457" i="34"/>
  <c r="AC455" i="34"/>
  <c r="AC453" i="34"/>
  <c r="AC451" i="34"/>
  <c r="AC450" i="34"/>
  <c r="AC448" i="34"/>
  <c r="AC446" i="34"/>
  <c r="AC445" i="34"/>
  <c r="AC444" i="34"/>
  <c r="AC443" i="34"/>
  <c r="AC442" i="34"/>
  <c r="AC441" i="34"/>
  <c r="AC440" i="34"/>
  <c r="AC439" i="34"/>
  <c r="AC437" i="34"/>
  <c r="AC436" i="34"/>
  <c r="AC434" i="34"/>
  <c r="AC433" i="34"/>
  <c r="AC432" i="34"/>
  <c r="AC431" i="34"/>
  <c r="AC430" i="34"/>
  <c r="AC428" i="34"/>
  <c r="AC426" i="34"/>
  <c r="AC424" i="34"/>
  <c r="AC422" i="34"/>
  <c r="AC421" i="34"/>
  <c r="AC419" i="34"/>
  <c r="AC418" i="34"/>
  <c r="AC417" i="34"/>
  <c r="AC416" i="34"/>
  <c r="AC414" i="34"/>
  <c r="AC413" i="34"/>
  <c r="AC411" i="34"/>
  <c r="AC409" i="34"/>
  <c r="AC408" i="34"/>
  <c r="AC407" i="34"/>
  <c r="AC406" i="34"/>
  <c r="AC405" i="34"/>
  <c r="AC403" i="34"/>
  <c r="AC402" i="34"/>
  <c r="AC400" i="34"/>
  <c r="AC398" i="34"/>
  <c r="AC397" i="34"/>
  <c r="AC396" i="34"/>
  <c r="AC394" i="34"/>
  <c r="AC392" i="34"/>
  <c r="AC390" i="34"/>
  <c r="AC389" i="34"/>
  <c r="AC387" i="34"/>
  <c r="AC385" i="34"/>
  <c r="AC384" i="34"/>
  <c r="AC382" i="34"/>
  <c r="AC380" i="34"/>
  <c r="AC378" i="34"/>
  <c r="AC377" i="34"/>
  <c r="AC376" i="34"/>
  <c r="AC375" i="34"/>
  <c r="AC374" i="34"/>
  <c r="AC372" i="34"/>
  <c r="AC371" i="34"/>
  <c r="AC369" i="34"/>
  <c r="AC368" i="34"/>
  <c r="AC366" i="34"/>
  <c r="AC364" i="34"/>
  <c r="AC363" i="34"/>
  <c r="AC362" i="34"/>
  <c r="AC361" i="34"/>
  <c r="AC359" i="34"/>
  <c r="AC358" i="34"/>
  <c r="AC357" i="34"/>
  <c r="AC355" i="34"/>
  <c r="AC353" i="34"/>
  <c r="AC352" i="34"/>
  <c r="AC350" i="34"/>
  <c r="AC349" i="34"/>
  <c r="AC348" i="34"/>
  <c r="AC347" i="34"/>
  <c r="AC346" i="34"/>
  <c r="AC345" i="34"/>
  <c r="AC343" i="34"/>
  <c r="AC341" i="34"/>
  <c r="AC340" i="34"/>
  <c r="AC338" i="34"/>
  <c r="AC336" i="34"/>
  <c r="AC334" i="34"/>
  <c r="AC332" i="34"/>
  <c r="AC330" i="34"/>
  <c r="AC328" i="34"/>
  <c r="AC327" i="34"/>
  <c r="AC326" i="34"/>
  <c r="AC325" i="34"/>
  <c r="AC324" i="34"/>
  <c r="AC322" i="34"/>
  <c r="AC320" i="34"/>
  <c r="AC319" i="34"/>
  <c r="AC317" i="34"/>
  <c r="AC315" i="34"/>
  <c r="AC313" i="34"/>
  <c r="AC312" i="34"/>
  <c r="AC311" i="34"/>
  <c r="AC310" i="34"/>
  <c r="AC309" i="34"/>
  <c r="AC308" i="34"/>
  <c r="AC306" i="34"/>
  <c r="AC304" i="34"/>
  <c r="AC302" i="34"/>
  <c r="AC301" i="34"/>
  <c r="AC299" i="34"/>
  <c r="AC298" i="34"/>
  <c r="AC296" i="34"/>
  <c r="AC295" i="34"/>
  <c r="AC293" i="34"/>
  <c r="AC292" i="34"/>
  <c r="AC290" i="34"/>
  <c r="AC288" i="34"/>
  <c r="AC287" i="34"/>
  <c r="AC286" i="34"/>
  <c r="AC284" i="34"/>
  <c r="AC282" i="34"/>
  <c r="AC281" i="34"/>
  <c r="AC279" i="34"/>
  <c r="AC277" i="34"/>
  <c r="AC275" i="34"/>
  <c r="AC274" i="34"/>
  <c r="AC273" i="34"/>
  <c r="AC272" i="34"/>
  <c r="AC270" i="34"/>
  <c r="AC268" i="34"/>
  <c r="AC267" i="34"/>
  <c r="AC265" i="34"/>
  <c r="AC264" i="34"/>
  <c r="AC263" i="34"/>
  <c r="AC261" i="34"/>
  <c r="AC260" i="34"/>
  <c r="AC259" i="34"/>
  <c r="AC258" i="34"/>
  <c r="AC257" i="34"/>
  <c r="AC255" i="34"/>
  <c r="AC254" i="34"/>
  <c r="AC252" i="34"/>
  <c r="AC251" i="34"/>
  <c r="AC249" i="34"/>
  <c r="AC248" i="34"/>
  <c r="AC246" i="34"/>
  <c r="AC245" i="34"/>
  <c r="AC244" i="34"/>
  <c r="AC242" i="34"/>
  <c r="AC241" i="34"/>
  <c r="AC239" i="34"/>
  <c r="AC238" i="34"/>
  <c r="AC236" i="34"/>
  <c r="AC235" i="34"/>
  <c r="AC233" i="34"/>
  <c r="AC231" i="34"/>
  <c r="AC229" i="34"/>
  <c r="AC228" i="34"/>
  <c r="AC226" i="34"/>
  <c r="AC224" i="34"/>
  <c r="AC222" i="34"/>
  <c r="AC220" i="34"/>
  <c r="AC218" i="34"/>
  <c r="AC217" i="34"/>
  <c r="AC215" i="34"/>
  <c r="AC214" i="34"/>
  <c r="AC212" i="34"/>
  <c r="AC211" i="34"/>
  <c r="AC210" i="34"/>
  <c r="AC209" i="34"/>
  <c r="AC207" i="34"/>
  <c r="AC205" i="34"/>
  <c r="AC203" i="34"/>
  <c r="AC201" i="34"/>
  <c r="AC199" i="34"/>
  <c r="AC197" i="34"/>
  <c r="AC196" i="34"/>
  <c r="AC195" i="34"/>
  <c r="AC193" i="34"/>
  <c r="AC191" i="34"/>
  <c r="AC189" i="34"/>
  <c r="AC187" i="34"/>
  <c r="AC185" i="34"/>
  <c r="AC183" i="34"/>
  <c r="AC182" i="34"/>
  <c r="AC180" i="34"/>
  <c r="AC179" i="34"/>
  <c r="AC178" i="34"/>
  <c r="AC177" i="34"/>
  <c r="AC175" i="34"/>
  <c r="AC174" i="34"/>
  <c r="AC172" i="34"/>
  <c r="AC170" i="34"/>
  <c r="AC168" i="34"/>
  <c r="AC166" i="34"/>
  <c r="AC165" i="34"/>
  <c r="AC163" i="34"/>
  <c r="AC162" i="34"/>
  <c r="AC160" i="34"/>
  <c r="AC159" i="34"/>
  <c r="AC157" i="34"/>
  <c r="AC156" i="34"/>
  <c r="AC154" i="34"/>
  <c r="AC153" i="34"/>
  <c r="AC151" i="34"/>
  <c r="AC149" i="34"/>
  <c r="AC148" i="34"/>
  <c r="AC147" i="34"/>
  <c r="AC146" i="34"/>
  <c r="AC144" i="34"/>
  <c r="AC142" i="34"/>
  <c r="AC140" i="34"/>
  <c r="AC139" i="34"/>
  <c r="AC137" i="34"/>
  <c r="AC136" i="34"/>
  <c r="AC134" i="34"/>
  <c r="AC133" i="34"/>
  <c r="AC131" i="34"/>
  <c r="AC130" i="34"/>
  <c r="AC129" i="34"/>
  <c r="AC128" i="34"/>
  <c r="AC126" i="34"/>
  <c r="AC125" i="34"/>
  <c r="AC123" i="34"/>
  <c r="AC122" i="34"/>
  <c r="AC121" i="34"/>
  <c r="AC120" i="34"/>
  <c r="AC118" i="34"/>
  <c r="AC116" i="34"/>
  <c r="AC114" i="34"/>
  <c r="AC113" i="34"/>
  <c r="AC111" i="34"/>
  <c r="AC109" i="34"/>
  <c r="AC107" i="34"/>
  <c r="AC106" i="34"/>
  <c r="AC104" i="34"/>
  <c r="AC102" i="34"/>
  <c r="AC100" i="34"/>
  <c r="AC99" i="34"/>
  <c r="AC98" i="34"/>
  <c r="AC96" i="34"/>
  <c r="AC95" i="34"/>
  <c r="AC94" i="34"/>
  <c r="AC93" i="34"/>
  <c r="AC91" i="34"/>
  <c r="AC89" i="34"/>
  <c r="AC88" i="34"/>
  <c r="AC86" i="34"/>
  <c r="AC85" i="34"/>
  <c r="AC83" i="34"/>
  <c r="AC81" i="34"/>
  <c r="AC79" i="34"/>
  <c r="AC78" i="34"/>
  <c r="AC76" i="34"/>
  <c r="AC74" i="34"/>
  <c r="AC72" i="34"/>
  <c r="AC71" i="34"/>
  <c r="AC70" i="34"/>
  <c r="AC69" i="34"/>
  <c r="AC67" i="34"/>
  <c r="AC65" i="34"/>
  <c r="AC64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929" i="34"/>
  <c r="C1236" i="34"/>
  <c r="C1237" i="34"/>
  <c r="C1238" i="34"/>
  <c r="C1241" i="34"/>
  <c r="C1242" i="34"/>
  <c r="C1243" i="34"/>
  <c r="C1244" i="34"/>
  <c r="C1245" i="34"/>
  <c r="C1246" i="34"/>
  <c r="C1247" i="34"/>
  <c r="C1248" i="34"/>
  <c r="A17" i="82" s="1"/>
  <c r="C1249" i="34"/>
  <c r="C1250" i="34"/>
  <c r="C1251" i="34"/>
  <c r="C1252" i="34"/>
  <c r="C1253" i="34"/>
  <c r="C1254" i="34"/>
  <c r="K978" i="34"/>
  <c r="K977" i="34"/>
  <c r="C943" i="34"/>
  <c r="C944" i="34"/>
  <c r="C977" i="34"/>
  <c r="C978" i="34"/>
  <c r="C979" i="34"/>
  <c r="C912" i="34"/>
  <c r="C913" i="34"/>
  <c r="C920" i="34"/>
  <c r="C921" i="34"/>
  <c r="C928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5" i="34"/>
  <c r="C1036" i="34"/>
  <c r="C1037" i="34"/>
  <c r="C1038" i="34"/>
  <c r="K1023" i="34"/>
  <c r="K1024" i="34"/>
  <c r="K1025" i="34"/>
  <c r="K1026" i="34"/>
  <c r="K1027" i="34"/>
  <c r="K1028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999" i="34"/>
  <c r="K1000" i="34"/>
  <c r="K1001" i="34"/>
  <c r="K1002" i="34"/>
  <c r="K1003" i="34"/>
  <c r="K1004" i="34"/>
  <c r="K1005" i="34"/>
  <c r="K1006" i="34"/>
  <c r="K1007" i="34"/>
  <c r="K998" i="34"/>
  <c r="K995" i="34"/>
  <c r="K986" i="34"/>
  <c r="K987" i="34"/>
  <c r="K988" i="34"/>
  <c r="K985" i="34"/>
  <c r="K982" i="34"/>
  <c r="K981" i="34"/>
  <c r="K971" i="34"/>
  <c r="K972" i="34"/>
  <c r="K973" i="34"/>
  <c r="K974" i="34"/>
  <c r="K975" i="34"/>
  <c r="K970" i="34"/>
  <c r="C973" i="34"/>
  <c r="C974" i="34"/>
  <c r="C975" i="34"/>
  <c r="C976" i="34"/>
  <c r="C981" i="34"/>
  <c r="C982" i="34"/>
  <c r="C984" i="34"/>
  <c r="C985" i="34"/>
  <c r="C986" i="34"/>
  <c r="C987" i="34"/>
  <c r="C988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K949" i="34"/>
  <c r="K946" i="34"/>
  <c r="K940" i="34"/>
  <c r="K935" i="34"/>
  <c r="K934" i="34"/>
  <c r="C934" i="34"/>
  <c r="C935" i="34"/>
  <c r="C936" i="34"/>
  <c r="C937" i="34"/>
  <c r="C938" i="34"/>
  <c r="C939" i="34"/>
  <c r="C940" i="34"/>
  <c r="C942" i="34"/>
  <c r="C946" i="34"/>
  <c r="C948" i="34"/>
  <c r="C949" i="34"/>
  <c r="C951" i="34"/>
  <c r="C970" i="34"/>
  <c r="C971" i="34"/>
  <c r="C972" i="34"/>
  <c r="K1199" i="34"/>
  <c r="K1233" i="34"/>
  <c r="K1230" i="34"/>
  <c r="K1227" i="34"/>
  <c r="K1224" i="34"/>
  <c r="K1221" i="34"/>
  <c r="K1218" i="34"/>
  <c r="K1214" i="34"/>
  <c r="K1211" i="34"/>
  <c r="K1206" i="34"/>
  <c r="K1203" i="34"/>
  <c r="K1201" i="34"/>
  <c r="K1188" i="34"/>
  <c r="K1183" i="34"/>
  <c r="K1174" i="34"/>
  <c r="K1167" i="34"/>
  <c r="K1142" i="34"/>
  <c r="K1124" i="34"/>
  <c r="K1123" i="34"/>
  <c r="K1121" i="34"/>
  <c r="K1117" i="34"/>
  <c r="K1110" i="34"/>
  <c r="K1109" i="34"/>
  <c r="K1107" i="34"/>
  <c r="K1105" i="34"/>
  <c r="K1098" i="34"/>
  <c r="K1097" i="34"/>
  <c r="K1091" i="34"/>
  <c r="K1088" i="34"/>
  <c r="K1086" i="34"/>
  <c r="K965" i="34"/>
  <c r="K966" i="34"/>
  <c r="K967" i="34"/>
  <c r="K961" i="34"/>
  <c r="K962" i="34"/>
  <c r="K963" i="34"/>
  <c r="K964" i="34"/>
  <c r="K960" i="34"/>
  <c r="K1078" i="34"/>
  <c r="K1072" i="34"/>
  <c r="K1066" i="34"/>
  <c r="K1070" i="34"/>
  <c r="C1065" i="34"/>
  <c r="C1070" i="34"/>
  <c r="C1071" i="34"/>
  <c r="C1066" i="34"/>
  <c r="C1067" i="34"/>
  <c r="C1072" i="34"/>
  <c r="C1073" i="34"/>
  <c r="C1078" i="34"/>
  <c r="C1079" i="34"/>
  <c r="C960" i="34"/>
  <c r="C961" i="34"/>
  <c r="C962" i="34"/>
  <c r="C963" i="34"/>
  <c r="C964" i="34"/>
  <c r="C965" i="34"/>
  <c r="C966" i="34"/>
  <c r="C967" i="34"/>
  <c r="C968" i="34"/>
  <c r="C1086" i="34"/>
  <c r="C1087" i="34"/>
  <c r="C1088" i="34"/>
  <c r="C1089" i="34"/>
  <c r="C1091" i="34"/>
  <c r="C1092" i="34"/>
  <c r="C1097" i="34"/>
  <c r="C1098" i="34"/>
  <c r="C1099" i="34"/>
  <c r="C1105" i="34"/>
  <c r="C1106" i="34"/>
  <c r="C1107" i="34"/>
  <c r="C1108" i="34"/>
  <c r="C1109" i="34"/>
  <c r="C1110" i="34"/>
  <c r="C1111" i="34"/>
  <c r="C1117" i="34"/>
  <c r="C1118" i="34"/>
  <c r="C1121" i="34"/>
  <c r="C1122" i="34"/>
  <c r="C1123" i="34"/>
  <c r="C1124" i="34"/>
  <c r="C1125" i="34"/>
  <c r="C1142" i="34"/>
  <c r="C1143" i="34"/>
  <c r="C1167" i="34"/>
  <c r="C1169" i="34"/>
  <c r="C1174" i="34"/>
  <c r="C1176" i="34"/>
  <c r="C1183" i="34"/>
  <c r="C1185" i="34"/>
  <c r="C1188" i="34"/>
  <c r="C1190" i="34"/>
  <c r="C1201" i="34"/>
  <c r="C1202" i="34"/>
  <c r="C1203" i="34"/>
  <c r="C1205" i="34"/>
  <c r="C1206" i="34"/>
  <c r="C1207" i="34"/>
  <c r="C1211" i="34"/>
  <c r="C1212" i="34"/>
  <c r="C1214" i="34"/>
  <c r="C1215" i="34"/>
  <c r="C1218" i="34"/>
  <c r="C1219" i="34"/>
  <c r="C1221" i="34"/>
  <c r="C1222" i="34"/>
  <c r="C1223" i="34"/>
  <c r="C1224" i="34"/>
  <c r="C1225" i="34"/>
  <c r="C1227" i="34"/>
  <c r="C1229" i="34"/>
  <c r="C1230" i="34"/>
  <c r="C1232" i="34"/>
  <c r="C1233" i="34"/>
  <c r="C1235" i="34"/>
  <c r="C1119" i="34"/>
  <c r="C1144" i="34"/>
  <c r="C1146" i="34"/>
  <c r="C1153" i="34"/>
  <c r="C1155" i="34"/>
  <c r="C1199" i="34"/>
  <c r="C1200" i="34"/>
  <c r="C1034" i="34"/>
  <c r="C930" i="34"/>
  <c r="C931" i="34"/>
  <c r="C932" i="34"/>
  <c r="C933" i="34"/>
  <c r="K1064" i="34"/>
  <c r="K1055" i="34"/>
  <c r="K1050" i="34"/>
  <c r="K1061" i="34"/>
  <c r="K1062" i="34"/>
  <c r="K1060" i="34"/>
  <c r="K1048" i="34"/>
  <c r="K1047" i="34"/>
  <c r="C1053" i="34"/>
  <c r="C1054" i="34"/>
  <c r="C1047" i="34"/>
  <c r="C1048" i="34"/>
  <c r="C1049" i="34"/>
  <c r="C1060" i="34"/>
  <c r="C1061" i="34"/>
  <c r="C1062" i="34"/>
  <c r="C1063" i="34"/>
  <c r="C1050" i="34"/>
  <c r="C1051" i="34"/>
  <c r="C1055" i="34"/>
  <c r="C1056" i="34"/>
  <c r="C1064" i="34"/>
  <c r="C1052" i="34"/>
  <c r="K1053" i="34"/>
  <c r="K1052" i="34"/>
  <c r="C1040" i="34"/>
  <c r="C1039" i="34"/>
  <c r="K1039" i="34"/>
  <c r="K1076" i="34"/>
  <c r="K957" i="34"/>
  <c r="C957" i="34"/>
  <c r="B957" i="34" s="1"/>
  <c r="K954" i="34"/>
  <c r="K955" i="34"/>
  <c r="K956" i="34"/>
  <c r="K953" i="34"/>
  <c r="K1045" i="34"/>
  <c r="K1210" i="34"/>
  <c r="K1209" i="34"/>
  <c r="K1187" i="34"/>
  <c r="K1186" i="34"/>
  <c r="K1164" i="34"/>
  <c r="K1163" i="34"/>
  <c r="K1198" i="34"/>
  <c r="K1197" i="34"/>
  <c r="K1194" i="34"/>
  <c r="K1191" i="34"/>
  <c r="K1180" i="34"/>
  <c r="K1177" i="34"/>
  <c r="C1162" i="34"/>
  <c r="B1162" i="34" s="1"/>
  <c r="K1160" i="34"/>
  <c r="K1148" i="34"/>
  <c r="K1139" i="34"/>
  <c r="K1138" i="34"/>
  <c r="K1131" i="34"/>
  <c r="K1130" i="34"/>
  <c r="K1129" i="34"/>
  <c r="C1128" i="34"/>
  <c r="B1128" i="34" s="1"/>
  <c r="C1043" i="34"/>
  <c r="B1043" i="34" s="1"/>
  <c r="K1126" i="34"/>
  <c r="K1114" i="34"/>
  <c r="K1112" i="34"/>
  <c r="K1101" i="34"/>
  <c r="K1102" i="34"/>
  <c r="K1100" i="34"/>
  <c r="E21" i="55"/>
  <c r="B15" i="55"/>
  <c r="A15" i="55" s="1"/>
  <c r="G15" i="55" a="1"/>
  <c r="G15" i="55" s="1"/>
  <c r="I15" i="55" a="1"/>
  <c r="I15" i="55" s="1"/>
  <c r="K1094" i="34"/>
  <c r="K1080" i="34"/>
  <c r="AA1043" i="34" l="1"/>
  <c r="P1043" i="34"/>
  <c r="X1043" i="34"/>
  <c r="Q1043" i="34"/>
  <c r="R1043" i="34"/>
  <c r="V1043" i="34"/>
  <c r="Q1128" i="34"/>
  <c r="R1128" i="34"/>
  <c r="V1128" i="34"/>
  <c r="AA1128" i="34"/>
  <c r="P1128" i="34"/>
  <c r="X1128" i="34"/>
  <c r="Q1162" i="34"/>
  <c r="R1162" i="34"/>
  <c r="V1162" i="34"/>
  <c r="AA1162" i="34"/>
  <c r="P1162" i="34"/>
  <c r="X1162" i="34"/>
  <c r="AA957" i="34"/>
  <c r="P957" i="34"/>
  <c r="X957" i="34"/>
  <c r="Q957" i="34"/>
  <c r="R957" i="34"/>
  <c r="V957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128" i="34"/>
  <c r="A1162" i="34"/>
  <c r="A957" i="34"/>
  <c r="A1043" i="34"/>
  <c r="K15" i="55"/>
  <c r="K1068" i="34"/>
  <c r="K1057" i="34"/>
  <c r="K1041" i="34"/>
  <c r="K925" i="34"/>
  <c r="K924" i="34"/>
  <c r="K915" i="34"/>
  <c r="K914" i="34"/>
  <c r="K909" i="34"/>
  <c r="K900" i="34"/>
  <c r="K899" i="34"/>
  <c r="K904" i="34"/>
  <c r="K901" i="34"/>
  <c r="C899" i="34"/>
  <c r="C900" i="34"/>
  <c r="C901" i="34"/>
  <c r="C902" i="34"/>
  <c r="C904" i="34"/>
  <c r="C906" i="34"/>
  <c r="C907" i="34"/>
  <c r="C908" i="34"/>
  <c r="C909" i="34"/>
  <c r="C910" i="34"/>
  <c r="C914" i="34"/>
  <c r="C915" i="34"/>
  <c r="C916" i="34"/>
  <c r="C917" i="34"/>
  <c r="C924" i="34"/>
  <c r="C925" i="34"/>
  <c r="C926" i="34"/>
  <c r="C927" i="34"/>
  <c r="C1041" i="34"/>
  <c r="C1042" i="34"/>
  <c r="C1057" i="34"/>
  <c r="C1059" i="34"/>
  <c r="C1068" i="34"/>
  <c r="C1069" i="34"/>
  <c r="C1074" i="34"/>
  <c r="C1075" i="34"/>
  <c r="C1080" i="34"/>
  <c r="C1081" i="34"/>
  <c r="C1083" i="34"/>
  <c r="C1084" i="34"/>
  <c r="C1094" i="34"/>
  <c r="C1095" i="34"/>
  <c r="C1100" i="34"/>
  <c r="C1101" i="34"/>
  <c r="C1102" i="34"/>
  <c r="C1103" i="34"/>
  <c r="C1112" i="34"/>
  <c r="C1113" i="34"/>
  <c r="C1114" i="34"/>
  <c r="C1115" i="34"/>
  <c r="C1126" i="34"/>
  <c r="C1127" i="34"/>
  <c r="C1129" i="34"/>
  <c r="C1130" i="34"/>
  <c r="C1131" i="34"/>
  <c r="C1132" i="34"/>
  <c r="C1134" i="34"/>
  <c r="C1135" i="34"/>
  <c r="C1136" i="34"/>
  <c r="C1137" i="34"/>
  <c r="C1138" i="34"/>
  <c r="C1139" i="34"/>
  <c r="C1140" i="34"/>
  <c r="C1141" i="34"/>
  <c r="C1148" i="34"/>
  <c r="C1149" i="34"/>
  <c r="C1150" i="34"/>
  <c r="C1151" i="34"/>
  <c r="C1152" i="34"/>
  <c r="C1157" i="34"/>
  <c r="C1158" i="34"/>
  <c r="C1160" i="34"/>
  <c r="C1161" i="34"/>
  <c r="C1165" i="34"/>
  <c r="C1166" i="34"/>
  <c r="C1170" i="34"/>
  <c r="C1171" i="34"/>
  <c r="C1172" i="34"/>
  <c r="C1173" i="34"/>
  <c r="C1177" i="34"/>
  <c r="C1178" i="34"/>
  <c r="C1179" i="34"/>
  <c r="C1180" i="34"/>
  <c r="C1191" i="34"/>
  <c r="C1192" i="34"/>
  <c r="C1193" i="34"/>
  <c r="C1194" i="34"/>
  <c r="C1195" i="34"/>
  <c r="C1196" i="34"/>
  <c r="C1197" i="34"/>
  <c r="C1198" i="34"/>
  <c r="C1216" i="34"/>
  <c r="C1217" i="34"/>
  <c r="C1163" i="34"/>
  <c r="C1164" i="34"/>
  <c r="C1186" i="34"/>
  <c r="C1187" i="34"/>
  <c r="C1209" i="34"/>
  <c r="C1210" i="34"/>
  <c r="C922" i="34"/>
  <c r="C923" i="34"/>
  <c r="C969" i="34"/>
  <c r="C1044" i="34"/>
  <c r="C1045" i="34"/>
  <c r="C1046" i="34"/>
  <c r="C1085" i="34"/>
  <c r="C953" i="34"/>
  <c r="C954" i="34"/>
  <c r="C955" i="34"/>
  <c r="C956" i="34"/>
  <c r="C959" i="34"/>
  <c r="C1076" i="34"/>
  <c r="C1077" i="34"/>
  <c r="C898" i="34" l="1"/>
  <c r="C892" i="34"/>
  <c r="C893" i="34"/>
  <c r="C894" i="34"/>
  <c r="C895" i="34"/>
  <c r="C896" i="34"/>
  <c r="C897" i="34"/>
  <c r="C884" i="34"/>
  <c r="C885" i="34"/>
  <c r="C886" i="34"/>
  <c r="C887" i="34"/>
  <c r="C888" i="34"/>
  <c r="C889" i="34"/>
  <c r="C890" i="34"/>
  <c r="C891" i="34"/>
  <c r="C883" i="34"/>
  <c r="C880" i="34"/>
  <c r="C881" i="34"/>
  <c r="C882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51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797" i="34"/>
  <c r="C798" i="34"/>
  <c r="C799" i="34"/>
  <c r="C800" i="34"/>
  <c r="C801" i="34"/>
  <c r="C802" i="34"/>
  <c r="C80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83" i="34"/>
  <c r="C773" i="34"/>
  <c r="C774" i="34"/>
  <c r="C775" i="34"/>
  <c r="C776" i="34"/>
  <c r="C777" i="34"/>
  <c r="C778" i="34"/>
  <c r="C779" i="34"/>
  <c r="C780" i="34"/>
  <c r="C781" i="34"/>
  <c r="C782" i="34"/>
  <c r="C772" i="34"/>
  <c r="C771" i="34"/>
  <c r="C769" i="34"/>
  <c r="C770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48" i="34"/>
  <c r="C749" i="34"/>
  <c r="C750" i="34"/>
  <c r="C751" i="34"/>
  <c r="C752" i="34"/>
  <c r="C741" i="34"/>
  <c r="C742" i="34"/>
  <c r="C743" i="34"/>
  <c r="C744" i="34"/>
  <c r="C745" i="34"/>
  <c r="C746" i="34"/>
  <c r="C747" i="34"/>
  <c r="C732" i="34"/>
  <c r="C733" i="34"/>
  <c r="C734" i="34"/>
  <c r="C735" i="34"/>
  <c r="C736" i="34"/>
  <c r="C737" i="34"/>
  <c r="C738" i="34"/>
  <c r="C739" i="34"/>
  <c r="C740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AC115" i="34" l="1"/>
  <c r="I24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6" i="34"/>
  <c r="AC68" i="34"/>
  <c r="AC73" i="34"/>
  <c r="AC75" i="34"/>
  <c r="AC77" i="34"/>
  <c r="AC80" i="34"/>
  <c r="AC82" i="34"/>
  <c r="AC84" i="34"/>
  <c r="AC87" i="34"/>
  <c r="AC90" i="34"/>
  <c r="AC92" i="34"/>
  <c r="AC97" i="34"/>
  <c r="AC101" i="34"/>
  <c r="AC103" i="34"/>
  <c r="AC105" i="34"/>
  <c r="AC108" i="34"/>
  <c r="AC110" i="34"/>
  <c r="AC112" i="34"/>
  <c r="AC117" i="34"/>
  <c r="AC119" i="34"/>
  <c r="AC124" i="34"/>
  <c r="AC127" i="34"/>
  <c r="AC132" i="34"/>
  <c r="AC135" i="34"/>
  <c r="AC138" i="34"/>
  <c r="AC141" i="34"/>
  <c r="AC143" i="34"/>
  <c r="AC145" i="34"/>
  <c r="AC150" i="34"/>
  <c r="AC152" i="34"/>
  <c r="AC155" i="34"/>
  <c r="AC158" i="34"/>
  <c r="AC161" i="34"/>
  <c r="AC164" i="34"/>
  <c r="AC167" i="34"/>
  <c r="AC169" i="34"/>
  <c r="AC171" i="34"/>
  <c r="AC173" i="34"/>
  <c r="AC176" i="34"/>
  <c r="AC181" i="34"/>
  <c r="AC184" i="34"/>
  <c r="AC186" i="34"/>
  <c r="AC188" i="34"/>
  <c r="AC190" i="34"/>
  <c r="AC192" i="34"/>
  <c r="AC194" i="34"/>
  <c r="AC198" i="34"/>
  <c r="AC200" i="34"/>
  <c r="AC202" i="34"/>
  <c r="AC204" i="34"/>
  <c r="AC206" i="34"/>
  <c r="AC208" i="34"/>
  <c r="AC213" i="34"/>
  <c r="AC216" i="34"/>
  <c r="AC219" i="34"/>
  <c r="AC221" i="34"/>
  <c r="AC223" i="34"/>
  <c r="AC225" i="34"/>
  <c r="AC227" i="34"/>
  <c r="AC230" i="34"/>
  <c r="AC232" i="34"/>
  <c r="AC234" i="34"/>
  <c r="AC237" i="34"/>
  <c r="AC240" i="34"/>
  <c r="AC243" i="34"/>
  <c r="AC247" i="34"/>
  <c r="AC250" i="34"/>
  <c r="AC253" i="34"/>
  <c r="AC256" i="34"/>
  <c r="AC262" i="34"/>
  <c r="AC266" i="34"/>
  <c r="AC269" i="34"/>
  <c r="AC271" i="34"/>
  <c r="AC276" i="34"/>
  <c r="AC278" i="34"/>
  <c r="AC280" i="34"/>
  <c r="AC283" i="34"/>
  <c r="AC285" i="34"/>
  <c r="AC289" i="34"/>
  <c r="AC291" i="34"/>
  <c r="AC294" i="34"/>
  <c r="AC297" i="34"/>
  <c r="AC300" i="34"/>
  <c r="AC303" i="34"/>
  <c r="AC305" i="34"/>
  <c r="AC307" i="34"/>
  <c r="AC314" i="34"/>
  <c r="AC316" i="34"/>
  <c r="AC318" i="34"/>
  <c r="AC321" i="34"/>
  <c r="AC323" i="34"/>
  <c r="AC329" i="34"/>
  <c r="AC331" i="34"/>
  <c r="AC333" i="34"/>
  <c r="AC335" i="34"/>
  <c r="AC337" i="34"/>
  <c r="AC339" i="34"/>
  <c r="AC342" i="34"/>
  <c r="AC344" i="34"/>
  <c r="AC351" i="34"/>
  <c r="AC354" i="34"/>
  <c r="AC356" i="34"/>
  <c r="AC360" i="34"/>
  <c r="AC365" i="34"/>
  <c r="AC367" i="34"/>
  <c r="AC370" i="34"/>
  <c r="AC373" i="34"/>
  <c r="AC379" i="34"/>
  <c r="AC381" i="34"/>
  <c r="AC383" i="34"/>
  <c r="AC386" i="34"/>
  <c r="AC388" i="34"/>
  <c r="AC391" i="34"/>
  <c r="AC393" i="34"/>
  <c r="AC395" i="34"/>
  <c r="AC399" i="34"/>
  <c r="AC401" i="34"/>
  <c r="AC404" i="34"/>
  <c r="AC410" i="34"/>
  <c r="AC412" i="34"/>
  <c r="AC415" i="34"/>
  <c r="AC420" i="34"/>
  <c r="AC423" i="34"/>
  <c r="AC425" i="34"/>
  <c r="AC427" i="34"/>
  <c r="AC429" i="34"/>
  <c r="AC435" i="34"/>
  <c r="AC438" i="34"/>
  <c r="AC447" i="34"/>
  <c r="AC449" i="34"/>
  <c r="AC452" i="34"/>
  <c r="AC454" i="34"/>
  <c r="AC456" i="34"/>
  <c r="AC459" i="34"/>
  <c r="AC461" i="34"/>
  <c r="AC464" i="34"/>
  <c r="AC470" i="34"/>
  <c r="AC472" i="34"/>
  <c r="AC474" i="34"/>
  <c r="AC483" i="34"/>
  <c r="AC485" i="34"/>
  <c r="AC490" i="34"/>
  <c r="AC493" i="34"/>
  <c r="AC495" i="34"/>
  <c r="AC497" i="34"/>
  <c r="AC500" i="34"/>
  <c r="AC503" i="34"/>
  <c r="AC505" i="34"/>
  <c r="AC508" i="34"/>
  <c r="AC512" i="34"/>
  <c r="AC514" i="34"/>
  <c r="AC518" i="34"/>
  <c r="AC521" i="34"/>
  <c r="AC523" i="34"/>
  <c r="AC526" i="34"/>
  <c r="AC529" i="34"/>
  <c r="AC531" i="34"/>
  <c r="AC541" i="34"/>
  <c r="AC545" i="34"/>
  <c r="AC547" i="34"/>
  <c r="AC550" i="34"/>
  <c r="AC554" i="34"/>
  <c r="AC556" i="34"/>
  <c r="AC558" i="34"/>
  <c r="AC560" i="34"/>
  <c r="AC565" i="34"/>
  <c r="AC570" i="34"/>
  <c r="AC572" i="34"/>
  <c r="AC576" i="34"/>
  <c r="AC579" i="34"/>
  <c r="AC581" i="34"/>
  <c r="AC583" i="34"/>
  <c r="AC587" i="34"/>
  <c r="AC589" i="34"/>
  <c r="AC593" i="34"/>
  <c r="AC597" i="34"/>
  <c r="AC599" i="34"/>
  <c r="AC602" i="34"/>
  <c r="AC604" i="34"/>
  <c r="AC606" i="34"/>
  <c r="AC612" i="34"/>
  <c r="AC614" i="34"/>
  <c r="AC616" i="34"/>
  <c r="AC618" i="34"/>
  <c r="AC620" i="34"/>
  <c r="AC622" i="34"/>
  <c r="AC624" i="34"/>
  <c r="AC626" i="34"/>
  <c r="AC629" i="34"/>
  <c r="AC633" i="34"/>
  <c r="AC637" i="34"/>
  <c r="AC639" i="34"/>
  <c r="AC642" i="34"/>
  <c r="AC644" i="34"/>
  <c r="AC646" i="34"/>
  <c r="AC649" i="34"/>
  <c r="AC651" i="34"/>
  <c r="AC656" i="34"/>
  <c r="AC667" i="34"/>
  <c r="AC669" i="34"/>
  <c r="AC671" i="34"/>
  <c r="AC674" i="34"/>
  <c r="AC679" i="34"/>
  <c r="AC683" i="34"/>
  <c r="AC685" i="34"/>
  <c r="AC687" i="34"/>
  <c r="AC690" i="34"/>
  <c r="AC693" i="34"/>
  <c r="AC695" i="34"/>
  <c r="AC698" i="34"/>
  <c r="AC700" i="34"/>
  <c r="AC705" i="34"/>
  <c r="AC710" i="34"/>
  <c r="AC712" i="34"/>
  <c r="A19" i="70"/>
  <c r="A9" i="70"/>
  <c r="A17" i="70"/>
  <c r="A40" i="70"/>
  <c r="A12" i="70"/>
  <c r="A30" i="70"/>
  <c r="A41" i="70"/>
  <c r="A37" i="70"/>
  <c r="A39" i="70"/>
  <c r="A21" i="70"/>
  <c r="A31" i="70"/>
  <c r="K711" i="34" l="1"/>
  <c r="K709" i="34"/>
  <c r="K708" i="34"/>
  <c r="K707" i="34"/>
  <c r="K706" i="34"/>
  <c r="K704" i="34"/>
  <c r="K703" i="34"/>
  <c r="K702" i="34"/>
  <c r="K701" i="34"/>
  <c r="K699" i="34"/>
  <c r="K697" i="34"/>
  <c r="K696" i="34"/>
  <c r="K694" i="34"/>
  <c r="K692" i="34"/>
  <c r="K691" i="34"/>
  <c r="K689" i="34"/>
  <c r="K688" i="34"/>
  <c r="K686" i="34"/>
  <c r="K684" i="34"/>
  <c r="K682" i="34"/>
  <c r="K681" i="34"/>
  <c r="K680" i="34"/>
  <c r="K678" i="34"/>
  <c r="K677" i="34"/>
  <c r="K676" i="34"/>
  <c r="K675" i="34"/>
  <c r="K673" i="34"/>
  <c r="K672" i="34"/>
  <c r="K670" i="34"/>
  <c r="K668" i="34"/>
  <c r="K666" i="34"/>
  <c r="K665" i="34"/>
  <c r="K664" i="34"/>
  <c r="K663" i="34"/>
  <c r="K662" i="34"/>
  <c r="K661" i="34"/>
  <c r="K660" i="34"/>
  <c r="K659" i="34"/>
  <c r="K658" i="34"/>
  <c r="K657" i="34"/>
  <c r="K655" i="34"/>
  <c r="K654" i="34"/>
  <c r="K653" i="34"/>
  <c r="K652" i="34"/>
  <c r="K650" i="34"/>
  <c r="K648" i="34"/>
  <c r="K647" i="34"/>
  <c r="K645" i="34"/>
  <c r="K643" i="34"/>
  <c r="K641" i="34"/>
  <c r="K640" i="34"/>
  <c r="K638" i="34"/>
  <c r="K636" i="34"/>
  <c r="K635" i="34"/>
  <c r="K634" i="34"/>
  <c r="K632" i="34"/>
  <c r="K631" i="34"/>
  <c r="K630" i="34"/>
  <c r="K628" i="34"/>
  <c r="K627" i="34"/>
  <c r="K625" i="34"/>
  <c r="K623" i="34"/>
  <c r="K621" i="34"/>
  <c r="K619" i="34"/>
  <c r="K617" i="34"/>
  <c r="K615" i="34"/>
  <c r="K613" i="34"/>
  <c r="K611" i="34"/>
  <c r="K610" i="34"/>
  <c r="K609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6" i="34"/>
  <c r="K585" i="34"/>
  <c r="K584" i="34"/>
  <c r="K582" i="34"/>
  <c r="K580" i="34"/>
  <c r="K578" i="34"/>
  <c r="K577" i="34"/>
  <c r="K575" i="34"/>
  <c r="K574" i="34"/>
  <c r="K573" i="34"/>
  <c r="K571" i="34"/>
  <c r="K569" i="34"/>
  <c r="K568" i="34"/>
  <c r="K567" i="34"/>
  <c r="K566" i="34"/>
  <c r="K564" i="34"/>
  <c r="K563" i="34"/>
  <c r="K562" i="34"/>
  <c r="K561" i="34"/>
  <c r="K559" i="34"/>
  <c r="K557" i="34"/>
  <c r="K555" i="34"/>
  <c r="K553" i="34"/>
  <c r="K552" i="34"/>
  <c r="K551" i="34"/>
  <c r="K549" i="34"/>
  <c r="K548" i="34"/>
  <c r="K546" i="34"/>
  <c r="K544" i="34"/>
  <c r="K543" i="34"/>
  <c r="K542" i="34"/>
  <c r="K540" i="34"/>
  <c r="K539" i="34"/>
  <c r="K538" i="34"/>
  <c r="K537" i="34"/>
  <c r="K536" i="34"/>
  <c r="K535" i="34"/>
  <c r="K534" i="34"/>
  <c r="K533" i="34"/>
  <c r="K532" i="34"/>
  <c r="K530" i="34"/>
  <c r="K528" i="34"/>
  <c r="K527" i="34"/>
  <c r="K525" i="34"/>
  <c r="K524" i="34"/>
  <c r="K522" i="34"/>
  <c r="K520" i="34"/>
  <c r="K519" i="34"/>
  <c r="K517" i="34"/>
  <c r="K516" i="34"/>
  <c r="K515" i="34"/>
  <c r="K513" i="34"/>
  <c r="K511" i="34"/>
  <c r="K510" i="34"/>
  <c r="K509" i="34"/>
  <c r="K507" i="34"/>
  <c r="K506" i="34"/>
  <c r="K504" i="34"/>
  <c r="K502" i="34"/>
  <c r="K501" i="34"/>
  <c r="K499" i="34"/>
  <c r="K498" i="34"/>
  <c r="K496" i="34"/>
  <c r="K494" i="34"/>
  <c r="K492" i="34"/>
  <c r="K491" i="34"/>
  <c r="K489" i="34"/>
  <c r="K488" i="34"/>
  <c r="K487" i="34"/>
  <c r="K486" i="34"/>
  <c r="K484" i="34"/>
  <c r="K482" i="34"/>
  <c r="K481" i="34"/>
  <c r="K480" i="34"/>
  <c r="K479" i="34"/>
  <c r="K478" i="34"/>
  <c r="K477" i="34"/>
  <c r="K476" i="34"/>
  <c r="K475" i="34"/>
  <c r="K473" i="34"/>
  <c r="K471" i="34"/>
  <c r="K469" i="34"/>
  <c r="K468" i="34"/>
  <c r="K467" i="34"/>
  <c r="K466" i="34"/>
  <c r="K465" i="34"/>
  <c r="K463" i="34"/>
  <c r="K462" i="34"/>
  <c r="K460" i="34"/>
  <c r="K458" i="34"/>
  <c r="K457" i="34"/>
  <c r="K455" i="34"/>
  <c r="K453" i="34"/>
  <c r="K451" i="34"/>
  <c r="K450" i="34"/>
  <c r="K448" i="34"/>
  <c r="K446" i="34"/>
  <c r="K445" i="34"/>
  <c r="K444" i="34"/>
  <c r="K443" i="34"/>
  <c r="K442" i="34"/>
  <c r="K441" i="34"/>
  <c r="K440" i="34"/>
  <c r="K439" i="34"/>
  <c r="K437" i="34"/>
  <c r="K436" i="34"/>
  <c r="K434" i="34"/>
  <c r="K433" i="34"/>
  <c r="K432" i="34"/>
  <c r="K431" i="34"/>
  <c r="K430" i="34"/>
  <c r="K428" i="34"/>
  <c r="K426" i="34"/>
  <c r="K424" i="34"/>
  <c r="K422" i="34"/>
  <c r="K421" i="34"/>
  <c r="K419" i="34"/>
  <c r="K418" i="34"/>
  <c r="K417" i="34"/>
  <c r="K416" i="34"/>
  <c r="K414" i="34"/>
  <c r="K413" i="34"/>
  <c r="K411" i="34"/>
  <c r="K409" i="34"/>
  <c r="K408" i="34"/>
  <c r="K407" i="34"/>
  <c r="K406" i="34"/>
  <c r="K405" i="34"/>
  <c r="K403" i="34"/>
  <c r="K402" i="34"/>
  <c r="K400" i="34"/>
  <c r="K398" i="34"/>
  <c r="K397" i="34"/>
  <c r="K396" i="34"/>
  <c r="K394" i="34"/>
  <c r="K392" i="34"/>
  <c r="K390" i="34"/>
  <c r="K389" i="34"/>
  <c r="K387" i="34"/>
  <c r="K385" i="34"/>
  <c r="K384" i="34"/>
  <c r="K382" i="34"/>
  <c r="K380" i="34"/>
  <c r="K378" i="34"/>
  <c r="K377" i="34"/>
  <c r="K376" i="34"/>
  <c r="K375" i="34"/>
  <c r="K374" i="34"/>
  <c r="K372" i="34"/>
  <c r="K371" i="34"/>
  <c r="K369" i="34"/>
  <c r="K368" i="34"/>
  <c r="K366" i="34"/>
  <c r="K364" i="34"/>
  <c r="K363" i="34"/>
  <c r="K362" i="34"/>
  <c r="K361" i="34"/>
  <c r="K359" i="34"/>
  <c r="K358" i="34"/>
  <c r="K357" i="34"/>
  <c r="K355" i="34"/>
  <c r="K353" i="34"/>
  <c r="K352" i="34"/>
  <c r="K350" i="34"/>
  <c r="K349" i="34"/>
  <c r="K348" i="34"/>
  <c r="K347" i="34"/>
  <c r="K346" i="34"/>
  <c r="K345" i="34"/>
  <c r="K343" i="34"/>
  <c r="K341" i="34"/>
  <c r="K340" i="34"/>
  <c r="K338" i="34"/>
  <c r="K336" i="34"/>
  <c r="K334" i="34"/>
  <c r="K332" i="34"/>
  <c r="K330" i="34"/>
  <c r="K328" i="34"/>
  <c r="K327" i="34"/>
  <c r="K326" i="34"/>
  <c r="K325" i="34"/>
  <c r="K324" i="34"/>
  <c r="K322" i="34"/>
  <c r="K320" i="34"/>
  <c r="K319" i="34"/>
  <c r="K317" i="34"/>
  <c r="K315" i="34"/>
  <c r="K313" i="34"/>
  <c r="K312" i="34"/>
  <c r="K311" i="34"/>
  <c r="K310" i="34"/>
  <c r="K309" i="34"/>
  <c r="K308" i="34"/>
  <c r="K306" i="34"/>
  <c r="K304" i="34"/>
  <c r="K302" i="34"/>
  <c r="K301" i="34"/>
  <c r="K299" i="34"/>
  <c r="K298" i="34"/>
  <c r="K296" i="34"/>
  <c r="K295" i="34"/>
  <c r="K293" i="34"/>
  <c r="K292" i="34"/>
  <c r="K290" i="34"/>
  <c r="K288" i="34"/>
  <c r="K287" i="34"/>
  <c r="K286" i="34"/>
  <c r="K284" i="34"/>
  <c r="K282" i="34"/>
  <c r="K281" i="34"/>
  <c r="K279" i="34"/>
  <c r="K277" i="34"/>
  <c r="K275" i="34"/>
  <c r="K274" i="34"/>
  <c r="K273" i="34"/>
  <c r="K272" i="34"/>
  <c r="K270" i="34"/>
  <c r="K268" i="34"/>
  <c r="K267" i="34"/>
  <c r="K265" i="34"/>
  <c r="K264" i="34"/>
  <c r="K263" i="34"/>
  <c r="K261" i="34"/>
  <c r="K260" i="34"/>
  <c r="K259" i="34"/>
  <c r="K258" i="34"/>
  <c r="K257" i="34"/>
  <c r="K255" i="34"/>
  <c r="K254" i="34"/>
  <c r="K252" i="34"/>
  <c r="K251" i="34"/>
  <c r="K249" i="34"/>
  <c r="K248" i="34"/>
  <c r="K246" i="34"/>
  <c r="K245" i="34"/>
  <c r="K244" i="34"/>
  <c r="K242" i="34"/>
  <c r="K241" i="34"/>
  <c r="K239" i="34"/>
  <c r="K238" i="34"/>
  <c r="K236" i="34"/>
  <c r="K235" i="34"/>
  <c r="K233" i="34"/>
  <c r="K231" i="34"/>
  <c r="K229" i="34"/>
  <c r="K228" i="34"/>
  <c r="K226" i="34"/>
  <c r="K224" i="34"/>
  <c r="K222" i="34"/>
  <c r="K220" i="34"/>
  <c r="K218" i="34"/>
  <c r="K217" i="34"/>
  <c r="K215" i="34"/>
  <c r="K214" i="34"/>
  <c r="K212" i="34"/>
  <c r="K211" i="34"/>
  <c r="K210" i="34"/>
  <c r="K209" i="34"/>
  <c r="K207" i="34"/>
  <c r="K205" i="34"/>
  <c r="K203" i="34"/>
  <c r="K201" i="34"/>
  <c r="K199" i="34"/>
  <c r="K197" i="34"/>
  <c r="K196" i="34"/>
  <c r="K195" i="34"/>
  <c r="K193" i="34"/>
  <c r="K191" i="34"/>
  <c r="K189" i="34"/>
  <c r="K187" i="34"/>
  <c r="K185" i="34"/>
  <c r="K183" i="34"/>
  <c r="K182" i="34"/>
  <c r="K180" i="34"/>
  <c r="K179" i="34"/>
  <c r="K178" i="34"/>
  <c r="K177" i="34"/>
  <c r="K175" i="34"/>
  <c r="K174" i="34"/>
  <c r="K172" i="34"/>
  <c r="K170" i="34"/>
  <c r="K168" i="34"/>
  <c r="K166" i="34"/>
  <c r="K165" i="34"/>
  <c r="K163" i="34"/>
  <c r="K162" i="34"/>
  <c r="K160" i="34"/>
  <c r="K159" i="34"/>
  <c r="K157" i="34"/>
  <c r="K156" i="34"/>
  <c r="K154" i="34"/>
  <c r="K153" i="34"/>
  <c r="K151" i="34"/>
  <c r="K149" i="34"/>
  <c r="K148" i="34"/>
  <c r="K147" i="34"/>
  <c r="K146" i="34"/>
  <c r="K144" i="34"/>
  <c r="K142" i="34"/>
  <c r="K140" i="34"/>
  <c r="K139" i="34"/>
  <c r="K137" i="34"/>
  <c r="K136" i="34"/>
  <c r="K134" i="34"/>
  <c r="K133" i="34"/>
  <c r="K131" i="34"/>
  <c r="K130" i="34"/>
  <c r="K129" i="34"/>
  <c r="K128" i="34"/>
  <c r="K126" i="34"/>
  <c r="K125" i="34"/>
  <c r="K123" i="34"/>
  <c r="K122" i="34"/>
  <c r="K121" i="34"/>
  <c r="K120" i="34"/>
  <c r="K118" i="34"/>
  <c r="K116" i="34"/>
  <c r="K114" i="34"/>
  <c r="K113" i="34"/>
  <c r="K111" i="34"/>
  <c r="K109" i="34"/>
  <c r="K107" i="34"/>
  <c r="K106" i="34"/>
  <c r="K104" i="34"/>
  <c r="K102" i="34"/>
  <c r="K100" i="34"/>
  <c r="K99" i="34"/>
  <c r="K98" i="34"/>
  <c r="K96" i="34"/>
  <c r="K95" i="34"/>
  <c r="K94" i="34"/>
  <c r="K93" i="34"/>
  <c r="K91" i="34"/>
  <c r="K89" i="34"/>
  <c r="K88" i="34"/>
  <c r="K86" i="34"/>
  <c r="K85" i="34"/>
  <c r="K83" i="34"/>
  <c r="K81" i="34"/>
  <c r="K79" i="34"/>
  <c r="K78" i="34"/>
  <c r="K76" i="34"/>
  <c r="K74" i="34"/>
  <c r="K72" i="34"/>
  <c r="K71" i="34"/>
  <c r="K70" i="34"/>
  <c r="K69" i="34"/>
  <c r="K67" i="34"/>
  <c r="K65" i="34"/>
  <c r="K64" i="34"/>
  <c r="K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6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X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875" i="34" l="1"/>
  <c r="B1873" i="34"/>
  <c r="B1764" i="34"/>
  <c r="B923" i="34"/>
  <c r="Q1764" i="34" l="1"/>
  <c r="R1764" i="34"/>
  <c r="V1764" i="34"/>
  <c r="AA1764" i="34"/>
  <c r="P1764" i="34"/>
  <c r="X1764" i="34"/>
  <c r="P1875" i="34"/>
  <c r="X1875" i="34"/>
  <c r="R1875" i="34"/>
  <c r="V1875" i="34"/>
  <c r="AA1875" i="34"/>
  <c r="Q1875" i="34"/>
  <c r="AA923" i="34"/>
  <c r="P923" i="34"/>
  <c r="X923" i="34"/>
  <c r="Q923" i="34"/>
  <c r="R923" i="34"/>
  <c r="V923" i="34"/>
  <c r="P1873" i="34"/>
  <c r="X1873" i="34"/>
  <c r="R1873" i="34"/>
  <c r="V1873" i="34"/>
  <c r="AA1873" i="34"/>
  <c r="Q1873" i="34"/>
  <c r="A1390" i="34"/>
  <c r="A923" i="34"/>
  <c r="A1873" i="34"/>
  <c r="A1570" i="34"/>
  <c r="A1764" i="34"/>
  <c r="A1568" i="34"/>
  <c r="A1875" i="34"/>
  <c r="B2003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981" i="34"/>
  <c r="B976" i="34"/>
  <c r="B975" i="34"/>
  <c r="B974" i="34"/>
  <c r="B973" i="34"/>
  <c r="B972" i="34"/>
  <c r="B971" i="34"/>
  <c r="B970" i="34"/>
  <c r="B951" i="34"/>
  <c r="B1222" i="34"/>
  <c r="B1221" i="34"/>
  <c r="B1219" i="34"/>
  <c r="B1218" i="34"/>
  <c r="B1215" i="34"/>
  <c r="B1214" i="34"/>
  <c r="B1212" i="34"/>
  <c r="B1211" i="34"/>
  <c r="B1207" i="34"/>
  <c r="B1106" i="34"/>
  <c r="B1105" i="34"/>
  <c r="B1099" i="34"/>
  <c r="B1098" i="34"/>
  <c r="B1097" i="34"/>
  <c r="B1092" i="34"/>
  <c r="B1091" i="34"/>
  <c r="B1089" i="34"/>
  <c r="B1088" i="34"/>
  <c r="B1336" i="34"/>
  <c r="B1335" i="34"/>
  <c r="B1334" i="34"/>
  <c r="B1317" i="34"/>
  <c r="B1316" i="34"/>
  <c r="B1315" i="34"/>
  <c r="B1314" i="34"/>
  <c r="B1313" i="34"/>
  <c r="B1312" i="34"/>
  <c r="B1292" i="34"/>
  <c r="B1291" i="34"/>
  <c r="B1290" i="34"/>
  <c r="B1289" i="34"/>
  <c r="B1288" i="34"/>
  <c r="B1287" i="34"/>
  <c r="B1286" i="34"/>
  <c r="B1285" i="34"/>
  <c r="B1284" i="34"/>
  <c r="B1258" i="34"/>
  <c r="B1257" i="34"/>
  <c r="B1256" i="34"/>
  <c r="B1255" i="34"/>
  <c r="B1254" i="34"/>
  <c r="B1253" i="34"/>
  <c r="B1252" i="34"/>
  <c r="B1251" i="34"/>
  <c r="B1250" i="34"/>
  <c r="B1028" i="34"/>
  <c r="B1027" i="34"/>
  <c r="B1026" i="34"/>
  <c r="B1722" i="34"/>
  <c r="B1721" i="34"/>
  <c r="B1720" i="34"/>
  <c r="B1702" i="34"/>
  <c r="B1701" i="34"/>
  <c r="B1700" i="34"/>
  <c r="B1699" i="34"/>
  <c r="B1698" i="34"/>
  <c r="B1697" i="34"/>
  <c r="B1696" i="34"/>
  <c r="B1695" i="34"/>
  <c r="B1694" i="34"/>
  <c r="B1673" i="34"/>
  <c r="B1672" i="34"/>
  <c r="B1671" i="34"/>
  <c r="B1670" i="34"/>
  <c r="B1669" i="34"/>
  <c r="B1668" i="34"/>
  <c r="B1667" i="34"/>
  <c r="B1666" i="34"/>
  <c r="B1665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A49" i="70"/>
  <c r="B524" i="34"/>
  <c r="Q1732" i="34" l="1"/>
  <c r="R1732" i="34"/>
  <c r="V1732" i="34"/>
  <c r="AA1732" i="34"/>
  <c r="P1732" i="34"/>
  <c r="X1732" i="34"/>
  <c r="Q1720" i="34"/>
  <c r="R1720" i="34"/>
  <c r="V1720" i="34"/>
  <c r="AA1720" i="34"/>
  <c r="P1720" i="34"/>
  <c r="X1720" i="34"/>
  <c r="R1256" i="34"/>
  <c r="V1256" i="34"/>
  <c r="P1256" i="34"/>
  <c r="U1256" i="34"/>
  <c r="Q1256" i="34"/>
  <c r="AA1256" i="34"/>
  <c r="S1256" i="34"/>
  <c r="X1256" i="34"/>
  <c r="T1256" i="34"/>
  <c r="Q1312" i="34"/>
  <c r="U1312" i="34"/>
  <c r="R1312" i="34"/>
  <c r="V1312" i="34"/>
  <c r="S1312" i="34"/>
  <c r="AA1312" i="34"/>
  <c r="P1312" i="34"/>
  <c r="T1312" i="34"/>
  <c r="X1312" i="34"/>
  <c r="AA1105" i="34"/>
  <c r="P1105" i="34"/>
  <c r="X1105" i="34"/>
  <c r="Q1105" i="34"/>
  <c r="R1105" i="34"/>
  <c r="V1105" i="34"/>
  <c r="AA1729" i="34"/>
  <c r="P1729" i="34"/>
  <c r="X1729" i="34"/>
  <c r="Q1729" i="34"/>
  <c r="R1729" i="34"/>
  <c r="V1729" i="34"/>
  <c r="Q1672" i="34"/>
  <c r="R1672" i="34"/>
  <c r="V1672" i="34"/>
  <c r="AA1672" i="34"/>
  <c r="P1672" i="34"/>
  <c r="X1672" i="34"/>
  <c r="Q1700" i="34"/>
  <c r="R1700" i="34"/>
  <c r="V1700" i="34"/>
  <c r="AA1700" i="34"/>
  <c r="P1700" i="34"/>
  <c r="X1700" i="34"/>
  <c r="P1253" i="34"/>
  <c r="T1253" i="34"/>
  <c r="X1253" i="34"/>
  <c r="R1253" i="34"/>
  <c r="V1253" i="34"/>
  <c r="S1253" i="34"/>
  <c r="U1253" i="34"/>
  <c r="AA1253" i="34"/>
  <c r="Q1253" i="34"/>
  <c r="Q1290" i="34"/>
  <c r="U1290" i="34"/>
  <c r="R1290" i="34"/>
  <c r="V1290" i="34"/>
  <c r="S1290" i="34"/>
  <c r="AA1290" i="34"/>
  <c r="P1290" i="34"/>
  <c r="T1290" i="34"/>
  <c r="X1290" i="34"/>
  <c r="AA1317" i="34"/>
  <c r="P1317" i="34"/>
  <c r="X1317" i="34"/>
  <c r="Q1317" i="34"/>
  <c r="R1317" i="34"/>
  <c r="V1317" i="34"/>
  <c r="Q1106" i="34"/>
  <c r="R1106" i="34"/>
  <c r="V1106" i="34"/>
  <c r="AA1106" i="34"/>
  <c r="P1106" i="34"/>
  <c r="X1106" i="34"/>
  <c r="AA971" i="34"/>
  <c r="P971" i="34"/>
  <c r="X971" i="34"/>
  <c r="Q971" i="34"/>
  <c r="R971" i="34"/>
  <c r="V971" i="34"/>
  <c r="Q1012" i="34"/>
  <c r="R1012" i="34"/>
  <c r="V1012" i="34"/>
  <c r="AA1012" i="34"/>
  <c r="P1012" i="34"/>
  <c r="X1012" i="34"/>
  <c r="Q1726" i="34"/>
  <c r="R1726" i="34"/>
  <c r="V1726" i="34"/>
  <c r="AA1726" i="34"/>
  <c r="P1726" i="34"/>
  <c r="X1726" i="34"/>
  <c r="AA1665" i="34"/>
  <c r="P1665" i="34"/>
  <c r="X1665" i="34"/>
  <c r="Q1665" i="34"/>
  <c r="R1665" i="34"/>
  <c r="V1665" i="34"/>
  <c r="AA1669" i="34"/>
  <c r="P1669" i="34"/>
  <c r="X1669" i="34"/>
  <c r="Q1669" i="34"/>
  <c r="R1669" i="34"/>
  <c r="V1669" i="34"/>
  <c r="AA1697" i="34"/>
  <c r="P1697" i="34"/>
  <c r="X1697" i="34"/>
  <c r="Q1697" i="34"/>
  <c r="R1697" i="34"/>
  <c r="V1697" i="34"/>
  <c r="AA1701" i="34"/>
  <c r="P1701" i="34"/>
  <c r="X1701" i="34"/>
  <c r="Q1701" i="34"/>
  <c r="R1701" i="34"/>
  <c r="V1701" i="34"/>
  <c r="R1250" i="34"/>
  <c r="V1250" i="34"/>
  <c r="P1250" i="34"/>
  <c r="T1250" i="34"/>
  <c r="X1250" i="34"/>
  <c r="Q1250" i="34"/>
  <c r="S1250" i="34"/>
  <c r="U1250" i="34"/>
  <c r="AA1250" i="34"/>
  <c r="Q1258" i="34"/>
  <c r="U1258" i="34"/>
  <c r="R1258" i="34"/>
  <c r="V1258" i="34"/>
  <c r="S1258" i="34"/>
  <c r="AA1258" i="34"/>
  <c r="P1258" i="34"/>
  <c r="T1258" i="34"/>
  <c r="X1258" i="34"/>
  <c r="S1287" i="34"/>
  <c r="AA1287" i="34"/>
  <c r="P1287" i="34"/>
  <c r="T1287" i="34"/>
  <c r="X1287" i="34"/>
  <c r="Q1287" i="34"/>
  <c r="U1287" i="34"/>
  <c r="R1287" i="34"/>
  <c r="V1287" i="34"/>
  <c r="Q1314" i="34"/>
  <c r="U1314" i="34"/>
  <c r="R1314" i="34"/>
  <c r="V1314" i="34"/>
  <c r="S1314" i="34"/>
  <c r="AA1314" i="34"/>
  <c r="P1314" i="34"/>
  <c r="T1314" i="34"/>
  <c r="X1314" i="34"/>
  <c r="AA1089" i="34"/>
  <c r="P1089" i="34"/>
  <c r="X1089" i="34"/>
  <c r="Q1089" i="34"/>
  <c r="R1089" i="34"/>
  <c r="V1089" i="34"/>
  <c r="AA1723" i="34"/>
  <c r="P1723" i="34"/>
  <c r="X1723" i="34"/>
  <c r="Q1723" i="34"/>
  <c r="R1723" i="34"/>
  <c r="V1723" i="34"/>
  <c r="AA1727" i="34"/>
  <c r="P1727" i="34"/>
  <c r="X1727" i="34"/>
  <c r="Q1727" i="34"/>
  <c r="R1727" i="34"/>
  <c r="V1727" i="34"/>
  <c r="AA1731" i="34"/>
  <c r="P1731" i="34"/>
  <c r="X1731" i="34"/>
  <c r="Q1731" i="34"/>
  <c r="R1731" i="34"/>
  <c r="V1731" i="34"/>
  <c r="Q1666" i="34"/>
  <c r="R1666" i="34"/>
  <c r="V1666" i="34"/>
  <c r="AA1666" i="34"/>
  <c r="P1666" i="34"/>
  <c r="X1666" i="34"/>
  <c r="Q1670" i="34"/>
  <c r="R1670" i="34"/>
  <c r="V1670" i="34"/>
  <c r="AA1670" i="34"/>
  <c r="P1670" i="34"/>
  <c r="X1670" i="34"/>
  <c r="Q1694" i="34"/>
  <c r="R1694" i="34"/>
  <c r="V1694" i="34"/>
  <c r="AA1694" i="34"/>
  <c r="P1694" i="34"/>
  <c r="X1694" i="34"/>
  <c r="Q1698" i="34"/>
  <c r="R1698" i="34"/>
  <c r="V1698" i="34"/>
  <c r="AA1698" i="34"/>
  <c r="P1698" i="34"/>
  <c r="X1698" i="34"/>
  <c r="Q1702" i="34"/>
  <c r="R1702" i="34"/>
  <c r="V1702" i="34"/>
  <c r="AA1702" i="34"/>
  <c r="P1702" i="34"/>
  <c r="X1702" i="34"/>
  <c r="R1026" i="34"/>
  <c r="V1026" i="34"/>
  <c r="P1026" i="34"/>
  <c r="X1026" i="34"/>
  <c r="Q1026" i="34"/>
  <c r="AA1026" i="34"/>
  <c r="P1251" i="34"/>
  <c r="T1251" i="34"/>
  <c r="X1251" i="34"/>
  <c r="R1251" i="34"/>
  <c r="V1251" i="34"/>
  <c r="Q1251" i="34"/>
  <c r="S1251" i="34"/>
  <c r="U1251" i="34"/>
  <c r="AA1251" i="34"/>
  <c r="P1255" i="34"/>
  <c r="T1255" i="34"/>
  <c r="X1255" i="34"/>
  <c r="U1255" i="34"/>
  <c r="Q1255" i="34"/>
  <c r="V1255" i="34"/>
  <c r="AA1255" i="34"/>
  <c r="R1255" i="34"/>
  <c r="S1255" i="34"/>
  <c r="Q1284" i="34"/>
  <c r="U1284" i="34"/>
  <c r="R1284" i="34"/>
  <c r="V1284" i="34"/>
  <c r="S1284" i="34"/>
  <c r="AA1284" i="34"/>
  <c r="P1284" i="34"/>
  <c r="T1284" i="34"/>
  <c r="X1284" i="34"/>
  <c r="Q1288" i="34"/>
  <c r="U1288" i="34"/>
  <c r="R1288" i="34"/>
  <c r="V1288" i="34"/>
  <c r="S1288" i="34"/>
  <c r="AA1288" i="34"/>
  <c r="P1288" i="34"/>
  <c r="T1288" i="34"/>
  <c r="X1288" i="34"/>
  <c r="Q1292" i="34"/>
  <c r="U1292" i="34"/>
  <c r="R1292" i="34"/>
  <c r="V1292" i="34"/>
  <c r="S1292" i="34"/>
  <c r="AA1292" i="34"/>
  <c r="P1292" i="34"/>
  <c r="T1292" i="34"/>
  <c r="X1292" i="34"/>
  <c r="AA1315" i="34"/>
  <c r="P1315" i="34"/>
  <c r="X1315" i="34"/>
  <c r="Q1315" i="34"/>
  <c r="R1315" i="34"/>
  <c r="V1315" i="34"/>
  <c r="AA1335" i="34"/>
  <c r="P1335" i="34"/>
  <c r="X1335" i="34"/>
  <c r="Q1335" i="34"/>
  <c r="R1335" i="34"/>
  <c r="V1335" i="34"/>
  <c r="AA1091" i="34"/>
  <c r="P1091" i="34"/>
  <c r="X1091" i="34"/>
  <c r="Q1091" i="34"/>
  <c r="R1091" i="34"/>
  <c r="V1091" i="34"/>
  <c r="AA1099" i="34"/>
  <c r="P1099" i="34"/>
  <c r="X1099" i="34"/>
  <c r="Q1099" i="34"/>
  <c r="R1099" i="34"/>
  <c r="V1099" i="34"/>
  <c r="AA1211" i="34"/>
  <c r="P1211" i="34"/>
  <c r="X1211" i="34"/>
  <c r="Q1211" i="34"/>
  <c r="R1211" i="34"/>
  <c r="V1211" i="34"/>
  <c r="Q1218" i="34"/>
  <c r="R1218" i="34"/>
  <c r="V1218" i="34"/>
  <c r="AA1218" i="34"/>
  <c r="P1218" i="34"/>
  <c r="X1218" i="34"/>
  <c r="AA951" i="34"/>
  <c r="P951" i="34"/>
  <c r="X951" i="34"/>
  <c r="Q951" i="34"/>
  <c r="R951" i="34"/>
  <c r="V951" i="34"/>
  <c r="AA973" i="34"/>
  <c r="P973" i="34"/>
  <c r="X973" i="34"/>
  <c r="Q973" i="34"/>
  <c r="R973" i="34"/>
  <c r="V973" i="34"/>
  <c r="AA981" i="34"/>
  <c r="P981" i="34"/>
  <c r="X981" i="34"/>
  <c r="Q981" i="34"/>
  <c r="R981" i="34"/>
  <c r="V981" i="34"/>
  <c r="Q1014" i="34"/>
  <c r="R1014" i="34"/>
  <c r="V1014" i="34"/>
  <c r="AA1014" i="34"/>
  <c r="P1014" i="34"/>
  <c r="X1014" i="34"/>
  <c r="Q1018" i="34"/>
  <c r="R1018" i="34"/>
  <c r="V1018" i="34"/>
  <c r="AA1018" i="34"/>
  <c r="P1018" i="34"/>
  <c r="X1018" i="34"/>
  <c r="R1022" i="34"/>
  <c r="V1022" i="34"/>
  <c r="P1022" i="34"/>
  <c r="X1022" i="34"/>
  <c r="Q1022" i="34"/>
  <c r="AA1022" i="34"/>
  <c r="Q2003" i="34"/>
  <c r="R2003" i="34"/>
  <c r="V2003" i="34"/>
  <c r="AA2003" i="34"/>
  <c r="P2003" i="34"/>
  <c r="X2003" i="34"/>
  <c r="Q1724" i="34"/>
  <c r="R1724" i="34"/>
  <c r="V1724" i="34"/>
  <c r="AA1724" i="34"/>
  <c r="P1724" i="34"/>
  <c r="X1724" i="34"/>
  <c r="AA1699" i="34"/>
  <c r="P1699" i="34"/>
  <c r="X1699" i="34"/>
  <c r="Q1699" i="34"/>
  <c r="R1699" i="34"/>
  <c r="V1699" i="34"/>
  <c r="Q1316" i="34"/>
  <c r="R1316" i="34"/>
  <c r="V1316" i="34"/>
  <c r="AA1316" i="34"/>
  <c r="P1316" i="34"/>
  <c r="X1316" i="34"/>
  <c r="AA1011" i="34"/>
  <c r="P1011" i="34"/>
  <c r="X1011" i="34"/>
  <c r="Q1011" i="34"/>
  <c r="R1011" i="34"/>
  <c r="V1011" i="34"/>
  <c r="Q1728" i="34"/>
  <c r="R1728" i="34"/>
  <c r="V1728" i="34"/>
  <c r="AA1728" i="34"/>
  <c r="P1728" i="34"/>
  <c r="X1728" i="34"/>
  <c r="AA1671" i="34"/>
  <c r="P1671" i="34"/>
  <c r="X1671" i="34"/>
  <c r="Q1671" i="34"/>
  <c r="R1671" i="34"/>
  <c r="V1671" i="34"/>
  <c r="P1027" i="34"/>
  <c r="X1027" i="34"/>
  <c r="R1027" i="34"/>
  <c r="V1027" i="34"/>
  <c r="AA1027" i="34"/>
  <c r="Q1027" i="34"/>
  <c r="S1285" i="34"/>
  <c r="AA1285" i="34"/>
  <c r="P1285" i="34"/>
  <c r="T1285" i="34"/>
  <c r="X1285" i="34"/>
  <c r="Q1285" i="34"/>
  <c r="U1285" i="34"/>
  <c r="R1285" i="34"/>
  <c r="V1285" i="34"/>
  <c r="Q1336" i="34"/>
  <c r="R1336" i="34"/>
  <c r="V1336" i="34"/>
  <c r="AA1336" i="34"/>
  <c r="P1336" i="34"/>
  <c r="X1336" i="34"/>
  <c r="Q1212" i="34"/>
  <c r="R1212" i="34"/>
  <c r="V1212" i="34"/>
  <c r="AA1212" i="34"/>
  <c r="P1212" i="34"/>
  <c r="X1212" i="34"/>
  <c r="Q974" i="34"/>
  <c r="R974" i="34"/>
  <c r="V974" i="34"/>
  <c r="AA974" i="34"/>
  <c r="P974" i="34"/>
  <c r="X974" i="34"/>
  <c r="P1019" i="34"/>
  <c r="X1019" i="34"/>
  <c r="Q1019" i="34"/>
  <c r="R1019" i="34"/>
  <c r="V1019" i="34"/>
  <c r="AA1019" i="34"/>
  <c r="R524" i="34"/>
  <c r="V524" i="34"/>
  <c r="AA524" i="34"/>
  <c r="P524" i="34"/>
  <c r="X524" i="34"/>
  <c r="Q524" i="34"/>
  <c r="Q1668" i="34"/>
  <c r="R1668" i="34"/>
  <c r="V1668" i="34"/>
  <c r="AA1668" i="34"/>
  <c r="P1668" i="34"/>
  <c r="X1668" i="34"/>
  <c r="AA1721" i="34"/>
  <c r="P1721" i="34"/>
  <c r="X1721" i="34"/>
  <c r="Q1721" i="34"/>
  <c r="R1721" i="34"/>
  <c r="V1721" i="34"/>
  <c r="Q1286" i="34"/>
  <c r="U1286" i="34"/>
  <c r="R1286" i="34"/>
  <c r="V1286" i="34"/>
  <c r="S1286" i="34"/>
  <c r="AA1286" i="34"/>
  <c r="P1286" i="34"/>
  <c r="T1286" i="34"/>
  <c r="X1286" i="34"/>
  <c r="Q1088" i="34"/>
  <c r="R1088" i="34"/>
  <c r="V1088" i="34"/>
  <c r="AA1088" i="34"/>
  <c r="P1088" i="34"/>
  <c r="X1088" i="34"/>
  <c r="Q1214" i="34"/>
  <c r="R1214" i="34"/>
  <c r="V1214" i="34"/>
  <c r="AA1214" i="34"/>
  <c r="P1214" i="34"/>
  <c r="X1214" i="34"/>
  <c r="AA975" i="34"/>
  <c r="P975" i="34"/>
  <c r="X975" i="34"/>
  <c r="Q975" i="34"/>
  <c r="R975" i="34"/>
  <c r="V975" i="34"/>
  <c r="R1020" i="34"/>
  <c r="V1020" i="34"/>
  <c r="P1020" i="34"/>
  <c r="X1020" i="34"/>
  <c r="Q1020" i="34"/>
  <c r="AA1020" i="34"/>
  <c r="R1024" i="34"/>
  <c r="V1024" i="34"/>
  <c r="P1024" i="34"/>
  <c r="X1024" i="34"/>
  <c r="Q1024" i="34"/>
  <c r="AA1024" i="34"/>
  <c r="AA1667" i="34"/>
  <c r="P1667" i="34"/>
  <c r="X1667" i="34"/>
  <c r="Q1667" i="34"/>
  <c r="R1667" i="34"/>
  <c r="V1667" i="34"/>
  <c r="AA1695" i="34"/>
  <c r="P1695" i="34"/>
  <c r="X1695" i="34"/>
  <c r="Q1695" i="34"/>
  <c r="R1695" i="34"/>
  <c r="V1695" i="34"/>
  <c r="R1252" i="34"/>
  <c r="V1252" i="34"/>
  <c r="P1252" i="34"/>
  <c r="T1252" i="34"/>
  <c r="X1252" i="34"/>
  <c r="U1252" i="34"/>
  <c r="AA1252" i="34"/>
  <c r="Q1252" i="34"/>
  <c r="S1252" i="34"/>
  <c r="S1289" i="34"/>
  <c r="AA1289" i="34"/>
  <c r="P1289" i="34"/>
  <c r="T1289" i="34"/>
  <c r="X1289" i="34"/>
  <c r="Q1289" i="34"/>
  <c r="U1289" i="34"/>
  <c r="R1289" i="34"/>
  <c r="V1289" i="34"/>
  <c r="Q1092" i="34"/>
  <c r="R1092" i="34"/>
  <c r="V1092" i="34"/>
  <c r="AA1092" i="34"/>
  <c r="P1092" i="34"/>
  <c r="X1092" i="34"/>
  <c r="AA1219" i="34"/>
  <c r="P1219" i="34"/>
  <c r="X1219" i="34"/>
  <c r="Q1219" i="34"/>
  <c r="R1219" i="34"/>
  <c r="V1219" i="34"/>
  <c r="Q970" i="34"/>
  <c r="R970" i="34"/>
  <c r="V970" i="34"/>
  <c r="AA970" i="34"/>
  <c r="P970" i="34"/>
  <c r="X970" i="34"/>
  <c r="AA1015" i="34"/>
  <c r="P1015" i="34"/>
  <c r="X1015" i="34"/>
  <c r="Q1015" i="34"/>
  <c r="R1015" i="34"/>
  <c r="V1015" i="34"/>
  <c r="P1023" i="34"/>
  <c r="X1023" i="34"/>
  <c r="R1023" i="34"/>
  <c r="V1023" i="34"/>
  <c r="AA1023" i="34"/>
  <c r="Q1023" i="34"/>
  <c r="AA1725" i="34"/>
  <c r="P1725" i="34"/>
  <c r="X1725" i="34"/>
  <c r="Q1725" i="34"/>
  <c r="R1725" i="34"/>
  <c r="V1725" i="34"/>
  <c r="AA1733" i="34"/>
  <c r="P1733" i="34"/>
  <c r="X1733" i="34"/>
  <c r="Q1733" i="34"/>
  <c r="R1733" i="34"/>
  <c r="V1733" i="34"/>
  <c r="Q1696" i="34"/>
  <c r="R1696" i="34"/>
  <c r="V1696" i="34"/>
  <c r="AA1696" i="34"/>
  <c r="P1696" i="34"/>
  <c r="X1696" i="34"/>
  <c r="R1028" i="34"/>
  <c r="V1028" i="34"/>
  <c r="P1028" i="34"/>
  <c r="X1028" i="34"/>
  <c r="Q1028" i="34"/>
  <c r="AA1028" i="34"/>
  <c r="P1257" i="34"/>
  <c r="T1257" i="34"/>
  <c r="X1257" i="34"/>
  <c r="Q1257" i="34"/>
  <c r="V1257" i="34"/>
  <c r="AA1257" i="34"/>
  <c r="R1257" i="34"/>
  <c r="S1257" i="34"/>
  <c r="U1257" i="34"/>
  <c r="S1313" i="34"/>
  <c r="AA1313" i="34"/>
  <c r="P1313" i="34"/>
  <c r="T1313" i="34"/>
  <c r="X1313" i="34"/>
  <c r="Q1313" i="34"/>
  <c r="U1313" i="34"/>
  <c r="R1313" i="34"/>
  <c r="V1313" i="34"/>
  <c r="AA1097" i="34"/>
  <c r="P1097" i="34"/>
  <c r="X1097" i="34"/>
  <c r="Q1097" i="34"/>
  <c r="R1097" i="34"/>
  <c r="V1097" i="34"/>
  <c r="AA1221" i="34"/>
  <c r="P1221" i="34"/>
  <c r="X1221" i="34"/>
  <c r="Q1221" i="34"/>
  <c r="R1221" i="34"/>
  <c r="V1221" i="34"/>
  <c r="Q1016" i="34"/>
  <c r="R1016" i="34"/>
  <c r="V1016" i="34"/>
  <c r="AA1016" i="34"/>
  <c r="P1016" i="34"/>
  <c r="X1016" i="34"/>
  <c r="Q1730" i="34"/>
  <c r="R1730" i="34"/>
  <c r="V1730" i="34"/>
  <c r="AA1730" i="34"/>
  <c r="P1730" i="34"/>
  <c r="X1730" i="34"/>
  <c r="AA1673" i="34"/>
  <c r="P1673" i="34"/>
  <c r="X1673" i="34"/>
  <c r="Q1673" i="34"/>
  <c r="R1673" i="34"/>
  <c r="V1673" i="34"/>
  <c r="Q1722" i="34"/>
  <c r="R1722" i="34"/>
  <c r="V1722" i="34"/>
  <c r="AA1722" i="34"/>
  <c r="P1722" i="34"/>
  <c r="X1722" i="34"/>
  <c r="R1254" i="34"/>
  <c r="V1254" i="34"/>
  <c r="P1254" i="34"/>
  <c r="T1254" i="34"/>
  <c r="X1254" i="34"/>
  <c r="Q1254" i="34"/>
  <c r="S1254" i="34"/>
  <c r="U1254" i="34"/>
  <c r="AA1254" i="34"/>
  <c r="S1291" i="34"/>
  <c r="AA1291" i="34"/>
  <c r="P1291" i="34"/>
  <c r="T1291" i="34"/>
  <c r="X1291" i="34"/>
  <c r="Q1291" i="34"/>
  <c r="U1291" i="34"/>
  <c r="R1291" i="34"/>
  <c r="V1291" i="34"/>
  <c r="Q1334" i="34"/>
  <c r="R1334" i="34"/>
  <c r="V1334" i="34"/>
  <c r="AA1334" i="34"/>
  <c r="P1334" i="34"/>
  <c r="X1334" i="34"/>
  <c r="Q1098" i="34"/>
  <c r="R1098" i="34"/>
  <c r="V1098" i="34"/>
  <c r="AA1098" i="34"/>
  <c r="P1098" i="34"/>
  <c r="X1098" i="34"/>
  <c r="AA1207" i="34"/>
  <c r="P1207" i="34"/>
  <c r="X1207" i="34"/>
  <c r="Q1207" i="34"/>
  <c r="R1207" i="34"/>
  <c r="V1207" i="34"/>
  <c r="AA1215" i="34"/>
  <c r="P1215" i="34"/>
  <c r="X1215" i="34"/>
  <c r="Q1215" i="34"/>
  <c r="R1215" i="34"/>
  <c r="V1215" i="34"/>
  <c r="Q1222" i="34"/>
  <c r="R1222" i="34"/>
  <c r="V1222" i="34"/>
  <c r="AA1222" i="34"/>
  <c r="P1222" i="34"/>
  <c r="X1222" i="34"/>
  <c r="Q972" i="34"/>
  <c r="R972" i="34"/>
  <c r="V972" i="34"/>
  <c r="AA972" i="34"/>
  <c r="P972" i="34"/>
  <c r="X972" i="34"/>
  <c r="Q976" i="34"/>
  <c r="R976" i="34"/>
  <c r="V976" i="34"/>
  <c r="AA976" i="34"/>
  <c r="P976" i="34"/>
  <c r="X976" i="34"/>
  <c r="AA1013" i="34"/>
  <c r="P1013" i="34"/>
  <c r="X1013" i="34"/>
  <c r="Q1013" i="34"/>
  <c r="R1013" i="34"/>
  <c r="V1013" i="34"/>
  <c r="AA1017" i="34"/>
  <c r="P1017" i="34"/>
  <c r="X1017" i="34"/>
  <c r="Q1017" i="34"/>
  <c r="R1017" i="34"/>
  <c r="V1017" i="34"/>
  <c r="P1021" i="34"/>
  <c r="X1021" i="34"/>
  <c r="R1021" i="34"/>
  <c r="V1021" i="34"/>
  <c r="AA1021" i="34"/>
  <c r="Q1021" i="34"/>
  <c r="P1025" i="34"/>
  <c r="X1025" i="34"/>
  <c r="R1025" i="34"/>
  <c r="V1025" i="34"/>
  <c r="AA1025" i="34"/>
  <c r="Q1025" i="34"/>
  <c r="A524" i="34"/>
  <c r="A1421" i="34"/>
  <c r="A1415" i="34"/>
  <c r="A1419" i="34"/>
  <c r="A1441" i="34"/>
  <c r="A1026" i="34"/>
  <c r="A1251" i="34"/>
  <c r="A1255" i="34"/>
  <c r="A1284" i="34"/>
  <c r="A1288" i="34"/>
  <c r="A1292" i="34"/>
  <c r="A1315" i="34"/>
  <c r="A1335" i="34"/>
  <c r="A1345" i="34"/>
  <c r="A1413" i="34"/>
  <c r="A1091" i="34"/>
  <c r="A1099" i="34"/>
  <c r="A1211" i="34"/>
  <c r="A1218" i="34"/>
  <c r="A951" i="34"/>
  <c r="A973" i="34"/>
  <c r="A981" i="34"/>
  <c r="A1014" i="34"/>
  <c r="A1018" i="34"/>
  <c r="A1022" i="34"/>
  <c r="A1027" i="34"/>
  <c r="A1252" i="34"/>
  <c r="A1256" i="34"/>
  <c r="A1285" i="34"/>
  <c r="A1289" i="34"/>
  <c r="A1312" i="34"/>
  <c r="A1316" i="34"/>
  <c r="A1336" i="34"/>
  <c r="A1383" i="34"/>
  <c r="A1092" i="34"/>
  <c r="A1105" i="34"/>
  <c r="A1212" i="34"/>
  <c r="A1219" i="34"/>
  <c r="A970" i="34"/>
  <c r="A974" i="34"/>
  <c r="A1011" i="34"/>
  <c r="A1015" i="34"/>
  <c r="A1019" i="34"/>
  <c r="A1023" i="34"/>
  <c r="A1416" i="34"/>
  <c r="A1420" i="34"/>
  <c r="A1417" i="34"/>
  <c r="A1028" i="34"/>
  <c r="A1253" i="34"/>
  <c r="A1257" i="34"/>
  <c r="A1286" i="34"/>
  <c r="A1290" i="34"/>
  <c r="A1313" i="34"/>
  <c r="A1317" i="34"/>
  <c r="A1337" i="34"/>
  <c r="A1384" i="34"/>
  <c r="A1088" i="34"/>
  <c r="A1097" i="34"/>
  <c r="A1106" i="34"/>
  <c r="A1214" i="34"/>
  <c r="A1221" i="34"/>
  <c r="A971" i="34"/>
  <c r="A975" i="34"/>
  <c r="A1012" i="34"/>
  <c r="A1016" i="34"/>
  <c r="A1020" i="34"/>
  <c r="A1024" i="34"/>
  <c r="A1414" i="34"/>
  <c r="A1418" i="34"/>
  <c r="A1422" i="34"/>
  <c r="A1250" i="34"/>
  <c r="A1254" i="34"/>
  <c r="A1258" i="34"/>
  <c r="A1287" i="34"/>
  <c r="A1291" i="34"/>
  <c r="A1314" i="34"/>
  <c r="A1334" i="34"/>
  <c r="A1344" i="34"/>
  <c r="A1412" i="34"/>
  <c r="A1089" i="34"/>
  <c r="A1098" i="34"/>
  <c r="A1207" i="34"/>
  <c r="A1215" i="34"/>
  <c r="A1222" i="34"/>
  <c r="A972" i="34"/>
  <c r="A976" i="34"/>
  <c r="A1013" i="34"/>
  <c r="A1017" i="34"/>
  <c r="A1021" i="34"/>
  <c r="A1025" i="34"/>
  <c r="A1479" i="34"/>
  <c r="A1517" i="34"/>
  <c r="A1726" i="34"/>
  <c r="A1730" i="34"/>
  <c r="A1444" i="34"/>
  <c r="A1448" i="34"/>
  <c r="A1583" i="34"/>
  <c r="A1587" i="34"/>
  <c r="A1624" i="34"/>
  <c r="A1639" i="34"/>
  <c r="A1643" i="34"/>
  <c r="A1665" i="34"/>
  <c r="A1669" i="34"/>
  <c r="A1673" i="34"/>
  <c r="A1697" i="34"/>
  <c r="A1701" i="34"/>
  <c r="A1722" i="34"/>
  <c r="A1560" i="34"/>
  <c r="A1478" i="34"/>
  <c r="A1513" i="34"/>
  <c r="A1476" i="34"/>
  <c r="A1510" i="34"/>
  <c r="A1514" i="34"/>
  <c r="A1723" i="34"/>
  <c r="A1727" i="34"/>
  <c r="A1731" i="34"/>
  <c r="A1445" i="34"/>
  <c r="A1449" i="34"/>
  <c r="A1474" i="34"/>
  <c r="A1584" i="34"/>
  <c r="A1588" i="34"/>
  <c r="A1636" i="34"/>
  <c r="A1640" i="34"/>
  <c r="A1644" i="34"/>
  <c r="A1666" i="34"/>
  <c r="A1670" i="34"/>
  <c r="A1694" i="34"/>
  <c r="A1698" i="34"/>
  <c r="A1702" i="34"/>
  <c r="A1561" i="34"/>
  <c r="A1477" i="34"/>
  <c r="A1511" i="34"/>
  <c r="A1515" i="34"/>
  <c r="A1724" i="34"/>
  <c r="A1728" i="34"/>
  <c r="A1732" i="34"/>
  <c r="A1442" i="34"/>
  <c r="A1446" i="34"/>
  <c r="A1475" i="34"/>
  <c r="A1585" i="34"/>
  <c r="A1589" i="34"/>
  <c r="A1637" i="34"/>
  <c r="A1641" i="34"/>
  <c r="A1645" i="34"/>
  <c r="A1667" i="34"/>
  <c r="A1671" i="34"/>
  <c r="A1695" i="34"/>
  <c r="A1699" i="34"/>
  <c r="A1720" i="34"/>
  <c r="A1581" i="34"/>
  <c r="A1512" i="34"/>
  <c r="A1516" i="34"/>
  <c r="A1725" i="34"/>
  <c r="A1729" i="34"/>
  <c r="A1733" i="34"/>
  <c r="A1443" i="34"/>
  <c r="A1447" i="34"/>
  <c r="A1582" i="34"/>
  <c r="A1586" i="34"/>
  <c r="A1623" i="34"/>
  <c r="A1638" i="34"/>
  <c r="A1642" i="34"/>
  <c r="A1646" i="34"/>
  <c r="A1668" i="34"/>
  <c r="A1672" i="34"/>
  <c r="A1696" i="34"/>
  <c r="A1700" i="34"/>
  <c r="A1721" i="34"/>
  <c r="A2003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539" i="34"/>
  <c r="B538" i="34"/>
  <c r="B537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529" i="34"/>
  <c r="B528" i="34"/>
  <c r="B527" i="34"/>
  <c r="B526" i="34"/>
  <c r="B525" i="34"/>
  <c r="B428" i="34"/>
  <c r="B427" i="34"/>
  <c r="B426" i="34"/>
  <c r="B425" i="34"/>
  <c r="B424" i="34"/>
  <c r="B423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1085" i="34"/>
  <c r="B1046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Q840" i="34" l="1"/>
  <c r="R840" i="34"/>
  <c r="V840" i="34"/>
  <c r="AA840" i="34"/>
  <c r="P840" i="34"/>
  <c r="X840" i="34"/>
  <c r="Q802" i="34"/>
  <c r="R802" i="34"/>
  <c r="V802" i="34"/>
  <c r="AA802" i="34"/>
  <c r="P802" i="34"/>
  <c r="X802" i="34"/>
  <c r="Q814" i="34"/>
  <c r="R814" i="34"/>
  <c r="V814" i="34"/>
  <c r="AA814" i="34"/>
  <c r="P814" i="34"/>
  <c r="X814" i="34"/>
  <c r="Q830" i="34"/>
  <c r="R830" i="34"/>
  <c r="V830" i="34"/>
  <c r="AA830" i="34"/>
  <c r="P830" i="34"/>
  <c r="X830" i="34"/>
  <c r="Q758" i="34"/>
  <c r="R758" i="34"/>
  <c r="V758" i="34"/>
  <c r="AA758" i="34"/>
  <c r="P758" i="34"/>
  <c r="X758" i="34"/>
  <c r="Q774" i="34"/>
  <c r="R774" i="34"/>
  <c r="V774" i="34"/>
  <c r="AA774" i="34"/>
  <c r="P774" i="34"/>
  <c r="X774" i="34"/>
  <c r="Q782" i="34"/>
  <c r="R782" i="34"/>
  <c r="V782" i="34"/>
  <c r="AA782" i="34"/>
  <c r="P782" i="34"/>
  <c r="X782" i="34"/>
  <c r="AA389" i="34"/>
  <c r="P389" i="34"/>
  <c r="X389" i="34"/>
  <c r="Q389" i="34"/>
  <c r="R389" i="34"/>
  <c r="V389" i="34"/>
  <c r="AA401" i="34"/>
  <c r="P401" i="34"/>
  <c r="X401" i="34"/>
  <c r="Q401" i="34"/>
  <c r="R401" i="34"/>
  <c r="V401" i="34"/>
  <c r="AA413" i="34"/>
  <c r="P413" i="34"/>
  <c r="X413" i="34"/>
  <c r="Q413" i="34"/>
  <c r="R413" i="34"/>
  <c r="V413" i="34"/>
  <c r="AA271" i="34"/>
  <c r="P271" i="34"/>
  <c r="X271" i="34"/>
  <c r="Q271" i="34"/>
  <c r="R271" i="34"/>
  <c r="V271" i="34"/>
  <c r="AA283" i="34"/>
  <c r="P283" i="34"/>
  <c r="X283" i="34"/>
  <c r="Q283" i="34"/>
  <c r="R283" i="34"/>
  <c r="V283" i="34"/>
  <c r="AA291" i="34"/>
  <c r="P291" i="34"/>
  <c r="X291" i="34"/>
  <c r="Q291" i="34"/>
  <c r="R291" i="34"/>
  <c r="V291" i="34"/>
  <c r="AA307" i="34"/>
  <c r="P307" i="34"/>
  <c r="X307" i="34"/>
  <c r="Q307" i="34"/>
  <c r="R307" i="34"/>
  <c r="V307" i="34"/>
  <c r="Q842" i="34"/>
  <c r="R842" i="34"/>
  <c r="V842" i="34"/>
  <c r="AA842" i="34"/>
  <c r="P842" i="34"/>
  <c r="X842" i="34"/>
  <c r="Q792" i="34"/>
  <c r="R792" i="34"/>
  <c r="V792" i="34"/>
  <c r="AA792" i="34"/>
  <c r="P792" i="34"/>
  <c r="X792" i="34"/>
  <c r="Q800" i="34"/>
  <c r="R800" i="34"/>
  <c r="V800" i="34"/>
  <c r="AA800" i="34"/>
  <c r="P800" i="34"/>
  <c r="X800" i="34"/>
  <c r="Q808" i="34"/>
  <c r="R808" i="34"/>
  <c r="V808" i="34"/>
  <c r="AA808" i="34"/>
  <c r="P808" i="34"/>
  <c r="X808" i="34"/>
  <c r="Q816" i="34"/>
  <c r="R816" i="34"/>
  <c r="V816" i="34"/>
  <c r="AA816" i="34"/>
  <c r="P816" i="34"/>
  <c r="X816" i="34"/>
  <c r="Q824" i="34"/>
  <c r="R824" i="34"/>
  <c r="V824" i="34"/>
  <c r="AA824" i="34"/>
  <c r="P824" i="34"/>
  <c r="X824" i="34"/>
  <c r="AA423" i="34"/>
  <c r="P423" i="34"/>
  <c r="X423" i="34"/>
  <c r="Q423" i="34"/>
  <c r="R423" i="34"/>
  <c r="V423" i="34"/>
  <c r="P527" i="34"/>
  <c r="X527" i="34"/>
  <c r="Q527" i="34"/>
  <c r="R527" i="34"/>
  <c r="V527" i="34"/>
  <c r="AA527" i="34"/>
  <c r="Q760" i="34"/>
  <c r="R760" i="34"/>
  <c r="V760" i="34"/>
  <c r="AA760" i="34"/>
  <c r="P760" i="34"/>
  <c r="X760" i="34"/>
  <c r="Q768" i="34"/>
  <c r="R768" i="34"/>
  <c r="V768" i="34"/>
  <c r="AA768" i="34"/>
  <c r="P768" i="34"/>
  <c r="X768" i="34"/>
  <c r="Q776" i="34"/>
  <c r="R776" i="34"/>
  <c r="V776" i="34"/>
  <c r="AA776" i="34"/>
  <c r="P776" i="34"/>
  <c r="X776" i="34"/>
  <c r="Q780" i="34"/>
  <c r="R780" i="34"/>
  <c r="V780" i="34"/>
  <c r="AA780" i="34"/>
  <c r="P780" i="34"/>
  <c r="X780" i="34"/>
  <c r="AA379" i="34"/>
  <c r="P379" i="34"/>
  <c r="X379" i="34"/>
  <c r="Q379" i="34"/>
  <c r="R379" i="34"/>
  <c r="V379" i="34"/>
  <c r="AA383" i="34"/>
  <c r="P383" i="34"/>
  <c r="X383" i="34"/>
  <c r="Q383" i="34"/>
  <c r="R383" i="34"/>
  <c r="V383" i="34"/>
  <c r="AA387" i="34"/>
  <c r="P387" i="34"/>
  <c r="X387" i="34"/>
  <c r="Q387" i="34"/>
  <c r="R387" i="34"/>
  <c r="V387" i="34"/>
  <c r="AA391" i="34"/>
  <c r="P391" i="34"/>
  <c r="X391" i="34"/>
  <c r="Q391" i="34"/>
  <c r="R391" i="34"/>
  <c r="V391" i="34"/>
  <c r="AA395" i="34"/>
  <c r="P395" i="34"/>
  <c r="X395" i="34"/>
  <c r="Q395" i="34"/>
  <c r="R395" i="34"/>
  <c r="V395" i="34"/>
  <c r="AA399" i="34"/>
  <c r="P399" i="34"/>
  <c r="X399" i="34"/>
  <c r="Q399" i="34"/>
  <c r="R399" i="34"/>
  <c r="V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AA419" i="34"/>
  <c r="P419" i="34"/>
  <c r="X419" i="34"/>
  <c r="Q419" i="34"/>
  <c r="R419" i="34"/>
  <c r="V419" i="34"/>
  <c r="P537" i="34"/>
  <c r="X537" i="34"/>
  <c r="Q537" i="34"/>
  <c r="R537" i="34"/>
  <c r="V537" i="34"/>
  <c r="AA537" i="34"/>
  <c r="AA269" i="34"/>
  <c r="P269" i="34"/>
  <c r="X269" i="34"/>
  <c r="Q269" i="34"/>
  <c r="R269" i="34"/>
  <c r="V269" i="34"/>
  <c r="AA273" i="34"/>
  <c r="P273" i="34"/>
  <c r="X273" i="34"/>
  <c r="Q273" i="34"/>
  <c r="R273" i="34"/>
  <c r="V273" i="34"/>
  <c r="AA277" i="34"/>
  <c r="P277" i="34"/>
  <c r="X277" i="34"/>
  <c r="Q277" i="34"/>
  <c r="R277" i="34"/>
  <c r="V277" i="34"/>
  <c r="AA281" i="34"/>
  <c r="P281" i="34"/>
  <c r="X281" i="34"/>
  <c r="Q281" i="34"/>
  <c r="R281" i="34"/>
  <c r="V281" i="34"/>
  <c r="AA285" i="34"/>
  <c r="P285" i="34"/>
  <c r="X285" i="34"/>
  <c r="Q285" i="34"/>
  <c r="R285" i="34"/>
  <c r="V285" i="34"/>
  <c r="AA289" i="34"/>
  <c r="P289" i="34"/>
  <c r="X289" i="34"/>
  <c r="Q289" i="34"/>
  <c r="R289" i="34"/>
  <c r="V289" i="34"/>
  <c r="AA293" i="34"/>
  <c r="P293" i="34"/>
  <c r="X293" i="34"/>
  <c r="Q293" i="34"/>
  <c r="R293" i="34"/>
  <c r="V293" i="34"/>
  <c r="AA297" i="34"/>
  <c r="P297" i="34"/>
  <c r="X297" i="34"/>
  <c r="Q297" i="34"/>
  <c r="R297" i="34"/>
  <c r="V297" i="34"/>
  <c r="AA301" i="34"/>
  <c r="P301" i="34"/>
  <c r="X301" i="34"/>
  <c r="Q301" i="34"/>
  <c r="R301" i="34"/>
  <c r="V301" i="34"/>
  <c r="AA305" i="34"/>
  <c r="P305" i="34"/>
  <c r="X305" i="34"/>
  <c r="Q305" i="34"/>
  <c r="R305" i="34"/>
  <c r="V305" i="34"/>
  <c r="Q1046" i="34"/>
  <c r="R1046" i="34"/>
  <c r="V1046" i="34"/>
  <c r="AA1046" i="34"/>
  <c r="P1046" i="34"/>
  <c r="X1046" i="34"/>
  <c r="Q794" i="34"/>
  <c r="R794" i="34"/>
  <c r="V794" i="34"/>
  <c r="AA794" i="34"/>
  <c r="P794" i="34"/>
  <c r="X794" i="34"/>
  <c r="Q810" i="34"/>
  <c r="R810" i="34"/>
  <c r="V810" i="34"/>
  <c r="AA810" i="34"/>
  <c r="P810" i="34"/>
  <c r="X810" i="34"/>
  <c r="Q826" i="34"/>
  <c r="R826" i="34"/>
  <c r="V826" i="34"/>
  <c r="AA826" i="34"/>
  <c r="P826" i="34"/>
  <c r="X826" i="34"/>
  <c r="P529" i="34"/>
  <c r="X529" i="34"/>
  <c r="Q529" i="34"/>
  <c r="R529" i="34"/>
  <c r="V529" i="34"/>
  <c r="AA529" i="34"/>
  <c r="Q766" i="34"/>
  <c r="R766" i="34"/>
  <c r="V766" i="34"/>
  <c r="AA766" i="34"/>
  <c r="P766" i="34"/>
  <c r="X766" i="34"/>
  <c r="Q786" i="34"/>
  <c r="R786" i="34"/>
  <c r="V786" i="34"/>
  <c r="AA786" i="34"/>
  <c r="P786" i="34"/>
  <c r="X786" i="34"/>
  <c r="AA393" i="34"/>
  <c r="P393" i="34"/>
  <c r="X393" i="34"/>
  <c r="Q393" i="34"/>
  <c r="R393" i="34"/>
  <c r="V393" i="34"/>
  <c r="AA405" i="34"/>
  <c r="P405" i="34"/>
  <c r="X405" i="34"/>
  <c r="Q405" i="34"/>
  <c r="R405" i="34"/>
  <c r="V405" i="34"/>
  <c r="AA421" i="34"/>
  <c r="P421" i="34"/>
  <c r="X421" i="34"/>
  <c r="Q421" i="34"/>
  <c r="R421" i="34"/>
  <c r="V421" i="34"/>
  <c r="AA275" i="34"/>
  <c r="P275" i="34"/>
  <c r="X275" i="34"/>
  <c r="Q275" i="34"/>
  <c r="R275" i="34"/>
  <c r="V275" i="34"/>
  <c r="AA287" i="34"/>
  <c r="P287" i="34"/>
  <c r="X287" i="34"/>
  <c r="Q287" i="34"/>
  <c r="R287" i="34"/>
  <c r="V287" i="34"/>
  <c r="AA303" i="34"/>
  <c r="P303" i="34"/>
  <c r="X303" i="34"/>
  <c r="Q303" i="34"/>
  <c r="R303" i="34"/>
  <c r="V303" i="34"/>
  <c r="Q834" i="34"/>
  <c r="R834" i="34"/>
  <c r="V834" i="34"/>
  <c r="AA834" i="34"/>
  <c r="P834" i="34"/>
  <c r="X834" i="34"/>
  <c r="Q838" i="34"/>
  <c r="R838" i="34"/>
  <c r="V838" i="34"/>
  <c r="AA838" i="34"/>
  <c r="P838" i="34"/>
  <c r="X838" i="34"/>
  <c r="Q788" i="34"/>
  <c r="R788" i="34"/>
  <c r="V788" i="34"/>
  <c r="AA788" i="34"/>
  <c r="P788" i="34"/>
  <c r="X788" i="34"/>
  <c r="Q796" i="34"/>
  <c r="R796" i="34"/>
  <c r="V796" i="34"/>
  <c r="AA796" i="34"/>
  <c r="P796" i="34"/>
  <c r="X796" i="34"/>
  <c r="Q804" i="34"/>
  <c r="R804" i="34"/>
  <c r="V804" i="34"/>
  <c r="AA804" i="34"/>
  <c r="P804" i="34"/>
  <c r="X804" i="34"/>
  <c r="Q812" i="34"/>
  <c r="R812" i="34"/>
  <c r="V812" i="34"/>
  <c r="AA812" i="34"/>
  <c r="P812" i="34"/>
  <c r="X812" i="34"/>
  <c r="Q820" i="34"/>
  <c r="R820" i="34"/>
  <c r="V820" i="34"/>
  <c r="AA820" i="34"/>
  <c r="P820" i="34"/>
  <c r="X820" i="34"/>
  <c r="Q828" i="34"/>
  <c r="R828" i="34"/>
  <c r="V828" i="34"/>
  <c r="AA828" i="34"/>
  <c r="P828" i="34"/>
  <c r="X828" i="34"/>
  <c r="AA427" i="34"/>
  <c r="P427" i="34"/>
  <c r="X427" i="34"/>
  <c r="Q427" i="34"/>
  <c r="R427" i="34"/>
  <c r="V427" i="34"/>
  <c r="Q756" i="34"/>
  <c r="R756" i="34"/>
  <c r="V756" i="34"/>
  <c r="AA756" i="34"/>
  <c r="P756" i="34"/>
  <c r="X756" i="34"/>
  <c r="Q764" i="34"/>
  <c r="R764" i="34"/>
  <c r="V764" i="34"/>
  <c r="AA764" i="34"/>
  <c r="P764" i="34"/>
  <c r="X764" i="34"/>
  <c r="Q772" i="34"/>
  <c r="R772" i="34"/>
  <c r="V772" i="34"/>
  <c r="AA772" i="34"/>
  <c r="P772" i="34"/>
  <c r="X772" i="34"/>
  <c r="Q784" i="34"/>
  <c r="R784" i="34"/>
  <c r="V784" i="34"/>
  <c r="AA784" i="34"/>
  <c r="P784" i="34"/>
  <c r="X784" i="34"/>
  <c r="AA835" i="34"/>
  <c r="P835" i="34"/>
  <c r="X835" i="34"/>
  <c r="Q835" i="34"/>
  <c r="R835" i="34"/>
  <c r="V835" i="34"/>
  <c r="AA839" i="34"/>
  <c r="P839" i="34"/>
  <c r="X839" i="34"/>
  <c r="Q839" i="34"/>
  <c r="R839" i="34"/>
  <c r="V839" i="34"/>
  <c r="AA843" i="34"/>
  <c r="P843" i="34"/>
  <c r="X843" i="34"/>
  <c r="Q843" i="34"/>
  <c r="R843" i="34"/>
  <c r="V843" i="34"/>
  <c r="AA789" i="34"/>
  <c r="P789" i="34"/>
  <c r="X789" i="34"/>
  <c r="Q789" i="34"/>
  <c r="R789" i="34"/>
  <c r="V789" i="34"/>
  <c r="AA793" i="34"/>
  <c r="P793" i="34"/>
  <c r="X793" i="34"/>
  <c r="Q793" i="34"/>
  <c r="R793" i="34"/>
  <c r="V793" i="34"/>
  <c r="AA797" i="34"/>
  <c r="P797" i="34"/>
  <c r="X797" i="34"/>
  <c r="Q797" i="34"/>
  <c r="R797" i="34"/>
  <c r="V797" i="34"/>
  <c r="AA801" i="34"/>
  <c r="P801" i="34"/>
  <c r="X801" i="34"/>
  <c r="Q801" i="34"/>
  <c r="R801" i="34"/>
  <c r="V801" i="34"/>
  <c r="AA805" i="34"/>
  <c r="P805" i="34"/>
  <c r="X805" i="34"/>
  <c r="Q805" i="34"/>
  <c r="R805" i="34"/>
  <c r="V805" i="34"/>
  <c r="AA809" i="34"/>
  <c r="P809" i="34"/>
  <c r="X809" i="34"/>
  <c r="Q809" i="34"/>
  <c r="R809" i="34"/>
  <c r="V809" i="34"/>
  <c r="AA813" i="34"/>
  <c r="P813" i="34"/>
  <c r="X813" i="34"/>
  <c r="Q813" i="34"/>
  <c r="R813" i="34"/>
  <c r="V813" i="34"/>
  <c r="AA817" i="34"/>
  <c r="P817" i="34"/>
  <c r="X817" i="34"/>
  <c r="Q817" i="34"/>
  <c r="R817" i="34"/>
  <c r="V817" i="34"/>
  <c r="AA821" i="34"/>
  <c r="P821" i="34"/>
  <c r="X821" i="34"/>
  <c r="Q821" i="34"/>
  <c r="R821" i="34"/>
  <c r="V821" i="34"/>
  <c r="AA825" i="34"/>
  <c r="P825" i="34"/>
  <c r="X825" i="34"/>
  <c r="Q825" i="34"/>
  <c r="R825" i="34"/>
  <c r="V825" i="34"/>
  <c r="AA829" i="34"/>
  <c r="P829" i="34"/>
  <c r="X829" i="34"/>
  <c r="Q829" i="34"/>
  <c r="R829" i="34"/>
  <c r="V829" i="34"/>
  <c r="Q424" i="34"/>
  <c r="R424" i="34"/>
  <c r="V424" i="34"/>
  <c r="AA424" i="34"/>
  <c r="P424" i="34"/>
  <c r="X424" i="34"/>
  <c r="Q428" i="34"/>
  <c r="R428" i="34"/>
  <c r="V428" i="34"/>
  <c r="AA428" i="34"/>
  <c r="P428" i="34"/>
  <c r="X428" i="34"/>
  <c r="R528" i="34"/>
  <c r="V528" i="34"/>
  <c r="AA528" i="34"/>
  <c r="P528" i="34"/>
  <c r="X528" i="34"/>
  <c r="Q528" i="34"/>
  <c r="AA757" i="34"/>
  <c r="P757" i="34"/>
  <c r="X757" i="34"/>
  <c r="Q757" i="34"/>
  <c r="R757" i="34"/>
  <c r="V757" i="34"/>
  <c r="AA761" i="34"/>
  <c r="P761" i="34"/>
  <c r="X761" i="34"/>
  <c r="Q761" i="34"/>
  <c r="R761" i="34"/>
  <c r="V761" i="34"/>
  <c r="AA765" i="34"/>
  <c r="P765" i="34"/>
  <c r="X765" i="34"/>
  <c r="Q765" i="34"/>
  <c r="R765" i="34"/>
  <c r="V765" i="34"/>
  <c r="AA769" i="34"/>
  <c r="P769" i="34"/>
  <c r="X769" i="34"/>
  <c r="Q769" i="34"/>
  <c r="R769" i="34"/>
  <c r="V769" i="34"/>
  <c r="AA773" i="34"/>
  <c r="P773" i="34"/>
  <c r="X773" i="34"/>
  <c r="Q773" i="34"/>
  <c r="R773" i="34"/>
  <c r="V773" i="34"/>
  <c r="AA777" i="34"/>
  <c r="P777" i="34"/>
  <c r="X777" i="34"/>
  <c r="Q777" i="34"/>
  <c r="R777" i="34"/>
  <c r="V777" i="34"/>
  <c r="AA781" i="34"/>
  <c r="P781" i="34"/>
  <c r="X781" i="34"/>
  <c r="Q781" i="34"/>
  <c r="R781" i="34"/>
  <c r="V781" i="34"/>
  <c r="AA785" i="34"/>
  <c r="P785" i="34"/>
  <c r="X785" i="34"/>
  <c r="Q785" i="34"/>
  <c r="R785" i="34"/>
  <c r="V785" i="34"/>
  <c r="Q380" i="34"/>
  <c r="R380" i="34"/>
  <c r="V380" i="34"/>
  <c r="AA380" i="34"/>
  <c r="P380" i="34"/>
  <c r="X380" i="34"/>
  <c r="Q384" i="34"/>
  <c r="R384" i="34"/>
  <c r="V384" i="34"/>
  <c r="AA384" i="34"/>
  <c r="P384" i="34"/>
  <c r="X384" i="34"/>
  <c r="Q388" i="34"/>
  <c r="R388" i="34"/>
  <c r="V388" i="34"/>
  <c r="AA388" i="34"/>
  <c r="P388" i="34"/>
  <c r="X388" i="34"/>
  <c r="Q392" i="34"/>
  <c r="R392" i="34"/>
  <c r="V392" i="34"/>
  <c r="AA392" i="34"/>
  <c r="P392" i="34"/>
  <c r="X392" i="34"/>
  <c r="Q396" i="34"/>
  <c r="R396" i="34"/>
  <c r="V396" i="34"/>
  <c r="AA396" i="34"/>
  <c r="P396" i="34"/>
  <c r="X396" i="34"/>
  <c r="Q400" i="34"/>
  <c r="R400" i="34"/>
  <c r="V400" i="34"/>
  <c r="AA400" i="34"/>
  <c r="P400" i="34"/>
  <c r="X400" i="34"/>
  <c r="Q404" i="34"/>
  <c r="R404" i="34"/>
  <c r="V404" i="34"/>
  <c r="AA404" i="34"/>
  <c r="P404" i="34"/>
  <c r="X404" i="34"/>
  <c r="Q408" i="34"/>
  <c r="R408" i="34"/>
  <c r="V408" i="34"/>
  <c r="AA408" i="34"/>
  <c r="P408" i="34"/>
  <c r="X408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Q420" i="34"/>
  <c r="R420" i="34"/>
  <c r="V420" i="34"/>
  <c r="AA420" i="34"/>
  <c r="P420" i="34"/>
  <c r="X420" i="34"/>
  <c r="R538" i="34"/>
  <c r="V538" i="34"/>
  <c r="AA538" i="34"/>
  <c r="P538" i="34"/>
  <c r="X538" i="34"/>
  <c r="Q538" i="34"/>
  <c r="Q270" i="34"/>
  <c r="R270" i="34"/>
  <c r="V270" i="34"/>
  <c r="AA270" i="34"/>
  <c r="P270" i="34"/>
  <c r="X270" i="34"/>
  <c r="Q274" i="34"/>
  <c r="R274" i="34"/>
  <c r="V274" i="34"/>
  <c r="AA274" i="34"/>
  <c r="P274" i="34"/>
  <c r="X274" i="34"/>
  <c r="Q278" i="34"/>
  <c r="R278" i="34"/>
  <c r="V278" i="34"/>
  <c r="AA278" i="34"/>
  <c r="P278" i="34"/>
  <c r="X278" i="34"/>
  <c r="Q282" i="34"/>
  <c r="R282" i="34"/>
  <c r="V282" i="34"/>
  <c r="AA282" i="34"/>
  <c r="P282" i="34"/>
  <c r="X282" i="34"/>
  <c r="Q286" i="34"/>
  <c r="R286" i="34"/>
  <c r="V286" i="34"/>
  <c r="AA286" i="34"/>
  <c r="P286" i="34"/>
  <c r="X286" i="34"/>
  <c r="Q290" i="34"/>
  <c r="R290" i="34"/>
  <c r="V290" i="34"/>
  <c r="AA290" i="34"/>
  <c r="P290" i="34"/>
  <c r="X290" i="34"/>
  <c r="Q294" i="34"/>
  <c r="R294" i="34"/>
  <c r="V294" i="34"/>
  <c r="AA294" i="34"/>
  <c r="P294" i="34"/>
  <c r="X294" i="34"/>
  <c r="Q298" i="34"/>
  <c r="R298" i="34"/>
  <c r="V298" i="34"/>
  <c r="AA298" i="34"/>
  <c r="P298" i="34"/>
  <c r="X298" i="34"/>
  <c r="Q302" i="34"/>
  <c r="R302" i="34"/>
  <c r="V302" i="34"/>
  <c r="AA302" i="34"/>
  <c r="P302" i="34"/>
  <c r="X302" i="34"/>
  <c r="Q306" i="34"/>
  <c r="R306" i="34"/>
  <c r="V306" i="34"/>
  <c r="AA306" i="34"/>
  <c r="P306" i="34"/>
  <c r="X306" i="34"/>
  <c r="Q836" i="34"/>
  <c r="R836" i="34"/>
  <c r="V836" i="34"/>
  <c r="AA836" i="34"/>
  <c r="P836" i="34"/>
  <c r="X836" i="34"/>
  <c r="Q798" i="34"/>
  <c r="R798" i="34"/>
  <c r="V798" i="34"/>
  <c r="AA798" i="34"/>
  <c r="P798" i="34"/>
  <c r="X798" i="34"/>
  <c r="Q818" i="34"/>
  <c r="R818" i="34"/>
  <c r="V818" i="34"/>
  <c r="AA818" i="34"/>
  <c r="P818" i="34"/>
  <c r="X818" i="34"/>
  <c r="AA425" i="34"/>
  <c r="P425" i="34"/>
  <c r="X425" i="34"/>
  <c r="Q425" i="34"/>
  <c r="R425" i="34"/>
  <c r="V425" i="34"/>
  <c r="Q770" i="34"/>
  <c r="R770" i="34"/>
  <c r="V770" i="34"/>
  <c r="AA770" i="34"/>
  <c r="P770" i="34"/>
  <c r="X770" i="34"/>
  <c r="AA385" i="34"/>
  <c r="P385" i="34"/>
  <c r="X385" i="34"/>
  <c r="Q385" i="34"/>
  <c r="R385" i="34"/>
  <c r="V385" i="34"/>
  <c r="AA417" i="34"/>
  <c r="P417" i="34"/>
  <c r="X417" i="34"/>
  <c r="Q417" i="34"/>
  <c r="R417" i="34"/>
  <c r="V417" i="34"/>
  <c r="AA299" i="34"/>
  <c r="P299" i="34"/>
  <c r="X299" i="34"/>
  <c r="Q299" i="34"/>
  <c r="R299" i="34"/>
  <c r="V299" i="34"/>
  <c r="Q832" i="34"/>
  <c r="R832" i="34"/>
  <c r="V832" i="34"/>
  <c r="AA832" i="34"/>
  <c r="P832" i="34"/>
  <c r="X832" i="34"/>
  <c r="Q790" i="34"/>
  <c r="R790" i="34"/>
  <c r="V790" i="34"/>
  <c r="AA790" i="34"/>
  <c r="P790" i="34"/>
  <c r="X790" i="34"/>
  <c r="Q806" i="34"/>
  <c r="R806" i="34"/>
  <c r="V806" i="34"/>
  <c r="AA806" i="34"/>
  <c r="P806" i="34"/>
  <c r="X806" i="34"/>
  <c r="Q822" i="34"/>
  <c r="R822" i="34"/>
  <c r="V822" i="34"/>
  <c r="AA822" i="34"/>
  <c r="P822" i="34"/>
  <c r="X822" i="34"/>
  <c r="P525" i="34"/>
  <c r="X525" i="34"/>
  <c r="Q525" i="34"/>
  <c r="R525" i="34"/>
  <c r="V525" i="34"/>
  <c r="AA525" i="34"/>
  <c r="Q762" i="34"/>
  <c r="R762" i="34"/>
  <c r="V762" i="34"/>
  <c r="AA762" i="34"/>
  <c r="P762" i="34"/>
  <c r="X762" i="34"/>
  <c r="Q778" i="34"/>
  <c r="R778" i="34"/>
  <c r="V778" i="34"/>
  <c r="AA778" i="34"/>
  <c r="P778" i="34"/>
  <c r="X778" i="34"/>
  <c r="AA381" i="34"/>
  <c r="P381" i="34"/>
  <c r="X381" i="34"/>
  <c r="Q381" i="34"/>
  <c r="R381" i="34"/>
  <c r="V381" i="34"/>
  <c r="AA397" i="34"/>
  <c r="P397" i="34"/>
  <c r="X397" i="34"/>
  <c r="Q397" i="34"/>
  <c r="R397" i="34"/>
  <c r="V397" i="34"/>
  <c r="AA409" i="34"/>
  <c r="P409" i="34"/>
  <c r="X409" i="34"/>
  <c r="Q409" i="34"/>
  <c r="R409" i="34"/>
  <c r="V409" i="34"/>
  <c r="P539" i="34"/>
  <c r="X539" i="34"/>
  <c r="Q539" i="34"/>
  <c r="R539" i="34"/>
  <c r="V539" i="34"/>
  <c r="AA539" i="34"/>
  <c r="AA279" i="34"/>
  <c r="P279" i="34"/>
  <c r="X279" i="34"/>
  <c r="Q279" i="34"/>
  <c r="R279" i="34"/>
  <c r="V279" i="34"/>
  <c r="AA295" i="34"/>
  <c r="P295" i="34"/>
  <c r="X295" i="34"/>
  <c r="Q295" i="34"/>
  <c r="R295" i="34"/>
  <c r="V295" i="34"/>
  <c r="AA833" i="34"/>
  <c r="P833" i="34"/>
  <c r="X833" i="34"/>
  <c r="Q833" i="34"/>
  <c r="R833" i="34"/>
  <c r="V833" i="34"/>
  <c r="AA837" i="34"/>
  <c r="P837" i="34"/>
  <c r="X837" i="34"/>
  <c r="Q837" i="34"/>
  <c r="R837" i="34"/>
  <c r="V837" i="34"/>
  <c r="AA841" i="34"/>
  <c r="P841" i="34"/>
  <c r="X841" i="34"/>
  <c r="Q841" i="34"/>
  <c r="R841" i="34"/>
  <c r="V841" i="34"/>
  <c r="AA1085" i="34"/>
  <c r="P1085" i="34"/>
  <c r="X1085" i="34"/>
  <c r="Q1085" i="34"/>
  <c r="R1085" i="34"/>
  <c r="V1085" i="34"/>
  <c r="AA791" i="34"/>
  <c r="P791" i="34"/>
  <c r="X791" i="34"/>
  <c r="Q791" i="34"/>
  <c r="R791" i="34"/>
  <c r="V791" i="34"/>
  <c r="AA795" i="34"/>
  <c r="P795" i="34"/>
  <c r="X795" i="34"/>
  <c r="Q795" i="34"/>
  <c r="R795" i="34"/>
  <c r="V795" i="34"/>
  <c r="AA799" i="34"/>
  <c r="P799" i="34"/>
  <c r="X799" i="34"/>
  <c r="Q799" i="34"/>
  <c r="R799" i="34"/>
  <c r="V799" i="34"/>
  <c r="AA803" i="34"/>
  <c r="P803" i="34"/>
  <c r="X803" i="34"/>
  <c r="Q803" i="34"/>
  <c r="R803" i="34"/>
  <c r="V803" i="34"/>
  <c r="AA807" i="34"/>
  <c r="P807" i="34"/>
  <c r="X807" i="34"/>
  <c r="Q807" i="34"/>
  <c r="R807" i="34"/>
  <c r="V807" i="34"/>
  <c r="AA811" i="34"/>
  <c r="P811" i="34"/>
  <c r="X811" i="34"/>
  <c r="Q811" i="34"/>
  <c r="R811" i="34"/>
  <c r="V811" i="34"/>
  <c r="AA815" i="34"/>
  <c r="P815" i="34"/>
  <c r="X815" i="34"/>
  <c r="Q815" i="34"/>
  <c r="R815" i="34"/>
  <c r="V815" i="34"/>
  <c r="AA819" i="34"/>
  <c r="P819" i="34"/>
  <c r="X819" i="34"/>
  <c r="Q819" i="34"/>
  <c r="R819" i="34"/>
  <c r="V819" i="34"/>
  <c r="AA823" i="34"/>
  <c r="P823" i="34"/>
  <c r="X823" i="34"/>
  <c r="Q823" i="34"/>
  <c r="R823" i="34"/>
  <c r="V823" i="34"/>
  <c r="AA827" i="34"/>
  <c r="P827" i="34"/>
  <c r="X827" i="34"/>
  <c r="Q827" i="34"/>
  <c r="R827" i="34"/>
  <c r="V827" i="34"/>
  <c r="AA831" i="34"/>
  <c r="P831" i="34"/>
  <c r="X831" i="34"/>
  <c r="Q831" i="34"/>
  <c r="R831" i="34"/>
  <c r="V831" i="34"/>
  <c r="Q426" i="34"/>
  <c r="R426" i="34"/>
  <c r="V426" i="34"/>
  <c r="AA426" i="34"/>
  <c r="P426" i="34"/>
  <c r="X426" i="34"/>
  <c r="R526" i="34"/>
  <c r="V526" i="34"/>
  <c r="AA526" i="34"/>
  <c r="P526" i="34"/>
  <c r="X526" i="34"/>
  <c r="Q526" i="34"/>
  <c r="AA755" i="34"/>
  <c r="P755" i="34"/>
  <c r="X755" i="34"/>
  <c r="Q755" i="34"/>
  <c r="R755" i="34"/>
  <c r="V755" i="34"/>
  <c r="AA759" i="34"/>
  <c r="P759" i="34"/>
  <c r="X759" i="34"/>
  <c r="Q759" i="34"/>
  <c r="R759" i="34"/>
  <c r="V759" i="34"/>
  <c r="AA763" i="34"/>
  <c r="P763" i="34"/>
  <c r="X763" i="34"/>
  <c r="Q763" i="34"/>
  <c r="R763" i="34"/>
  <c r="V763" i="34"/>
  <c r="AA767" i="34"/>
  <c r="P767" i="34"/>
  <c r="X767" i="34"/>
  <c r="Q767" i="34"/>
  <c r="R767" i="34"/>
  <c r="V767" i="34"/>
  <c r="AA771" i="34"/>
  <c r="P771" i="34"/>
  <c r="X771" i="34"/>
  <c r="Q771" i="34"/>
  <c r="R771" i="34"/>
  <c r="V771" i="34"/>
  <c r="AA775" i="34"/>
  <c r="P775" i="34"/>
  <c r="X775" i="34"/>
  <c r="Q775" i="34"/>
  <c r="R775" i="34"/>
  <c r="V775" i="34"/>
  <c r="AA779" i="34"/>
  <c r="P779" i="34"/>
  <c r="X779" i="34"/>
  <c r="Q779" i="34"/>
  <c r="R779" i="34"/>
  <c r="V779" i="34"/>
  <c r="AA783" i="34"/>
  <c r="P783" i="34"/>
  <c r="X783" i="34"/>
  <c r="Q783" i="34"/>
  <c r="R783" i="34"/>
  <c r="V783" i="34"/>
  <c r="AA787" i="34"/>
  <c r="P787" i="34"/>
  <c r="X787" i="34"/>
  <c r="Q787" i="34"/>
  <c r="R787" i="34"/>
  <c r="V787" i="34"/>
  <c r="Q382" i="34"/>
  <c r="R382" i="34"/>
  <c r="V382" i="34"/>
  <c r="AA382" i="34"/>
  <c r="P382" i="34"/>
  <c r="X382" i="34"/>
  <c r="Q386" i="34"/>
  <c r="R386" i="34"/>
  <c r="V386" i="34"/>
  <c r="AA386" i="34"/>
  <c r="P386" i="34"/>
  <c r="X386" i="34"/>
  <c r="Q390" i="34"/>
  <c r="R390" i="34"/>
  <c r="V390" i="34"/>
  <c r="AA390" i="34"/>
  <c r="P390" i="34"/>
  <c r="X390" i="34"/>
  <c r="Q394" i="34"/>
  <c r="R394" i="34"/>
  <c r="V394" i="34"/>
  <c r="AA394" i="34"/>
  <c r="P394" i="34"/>
  <c r="X394" i="34"/>
  <c r="Q398" i="34"/>
  <c r="R398" i="34"/>
  <c r="V398" i="34"/>
  <c r="AA398" i="34"/>
  <c r="P398" i="34"/>
  <c r="X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AA410" i="34"/>
  <c r="P410" i="34"/>
  <c r="X410" i="34"/>
  <c r="Q414" i="34"/>
  <c r="R414" i="34"/>
  <c r="V414" i="34"/>
  <c r="AA414" i="34"/>
  <c r="P414" i="34"/>
  <c r="X414" i="34"/>
  <c r="Q418" i="34"/>
  <c r="R418" i="34"/>
  <c r="V418" i="34"/>
  <c r="AA418" i="34"/>
  <c r="P418" i="34"/>
  <c r="X418" i="34"/>
  <c r="Q422" i="34"/>
  <c r="R422" i="34"/>
  <c r="V422" i="34"/>
  <c r="AA422" i="34"/>
  <c r="P422" i="34"/>
  <c r="X422" i="34"/>
  <c r="Q268" i="34"/>
  <c r="R268" i="34"/>
  <c r="V268" i="34"/>
  <c r="AA268" i="34"/>
  <c r="P268" i="34"/>
  <c r="X268" i="34"/>
  <c r="Q272" i="34"/>
  <c r="R272" i="34"/>
  <c r="V272" i="34"/>
  <c r="AA272" i="34"/>
  <c r="P272" i="34"/>
  <c r="X272" i="34"/>
  <c r="Q276" i="34"/>
  <c r="R276" i="34"/>
  <c r="V276" i="34"/>
  <c r="AA276" i="34"/>
  <c r="P276" i="34"/>
  <c r="X276" i="34"/>
  <c r="Q280" i="34"/>
  <c r="R280" i="34"/>
  <c r="V280" i="34"/>
  <c r="AA280" i="34"/>
  <c r="P280" i="34"/>
  <c r="X280" i="34"/>
  <c r="Q284" i="34"/>
  <c r="R284" i="34"/>
  <c r="V284" i="34"/>
  <c r="AA284" i="34"/>
  <c r="P284" i="34"/>
  <c r="X284" i="34"/>
  <c r="Q288" i="34"/>
  <c r="R288" i="34"/>
  <c r="V288" i="34"/>
  <c r="AA288" i="34"/>
  <c r="P288" i="34"/>
  <c r="X288" i="34"/>
  <c r="Q292" i="34"/>
  <c r="R292" i="34"/>
  <c r="V292" i="34"/>
  <c r="AA292" i="34"/>
  <c r="P292" i="34"/>
  <c r="X292" i="34"/>
  <c r="Q296" i="34"/>
  <c r="R296" i="34"/>
  <c r="V296" i="34"/>
  <c r="AA296" i="34"/>
  <c r="P296" i="34"/>
  <c r="X296" i="34"/>
  <c r="Q300" i="34"/>
  <c r="R300" i="34"/>
  <c r="V300" i="34"/>
  <c r="AA300" i="34"/>
  <c r="P300" i="34"/>
  <c r="X300" i="34"/>
  <c r="Q304" i="34"/>
  <c r="R304" i="34"/>
  <c r="V304" i="34"/>
  <c r="AA304" i="34"/>
  <c r="P304" i="34"/>
  <c r="X304" i="34"/>
  <c r="Q308" i="34"/>
  <c r="R308" i="34"/>
  <c r="V308" i="34"/>
  <c r="AA308" i="34"/>
  <c r="P308" i="34"/>
  <c r="X308" i="34"/>
  <c r="A838" i="34"/>
  <c r="A804" i="34"/>
  <c r="A824" i="34"/>
  <c r="A835" i="34"/>
  <c r="A839" i="34"/>
  <c r="A843" i="34"/>
  <c r="A789" i="34"/>
  <c r="A793" i="34"/>
  <c r="A797" i="34"/>
  <c r="A801" i="34"/>
  <c r="A805" i="34"/>
  <c r="A809" i="34"/>
  <c r="A813" i="34"/>
  <c r="A817" i="34"/>
  <c r="A821" i="34"/>
  <c r="A825" i="34"/>
  <c r="A829" i="34"/>
  <c r="A424" i="34"/>
  <c r="A428" i="34"/>
  <c r="A528" i="34"/>
  <c r="A757" i="34"/>
  <c r="A761" i="34"/>
  <c r="A765" i="34"/>
  <c r="A769" i="34"/>
  <c r="A773" i="34"/>
  <c r="A777" i="34"/>
  <c r="A781" i="34"/>
  <c r="A785" i="34"/>
  <c r="A380" i="34"/>
  <c r="A384" i="34"/>
  <c r="A388" i="34"/>
  <c r="A392" i="34"/>
  <c r="A396" i="34"/>
  <c r="A400" i="34"/>
  <c r="A404" i="34"/>
  <c r="A408" i="34"/>
  <c r="A412" i="34"/>
  <c r="A416" i="34"/>
  <c r="A420" i="34"/>
  <c r="A538" i="34"/>
  <c r="A270" i="34"/>
  <c r="A274" i="34"/>
  <c r="A278" i="34"/>
  <c r="A282" i="34"/>
  <c r="A286" i="34"/>
  <c r="A290" i="34"/>
  <c r="A294" i="34"/>
  <c r="A298" i="34"/>
  <c r="A302" i="34"/>
  <c r="A306" i="34"/>
  <c r="A842" i="34"/>
  <c r="A800" i="34"/>
  <c r="A816" i="34"/>
  <c r="A832" i="34"/>
  <c r="A836" i="34"/>
  <c r="A840" i="34"/>
  <c r="A1046" i="34"/>
  <c r="A790" i="34"/>
  <c r="A794" i="34"/>
  <c r="A798" i="34"/>
  <c r="A802" i="34"/>
  <c r="A806" i="34"/>
  <c r="A810" i="34"/>
  <c r="A814" i="34"/>
  <c r="A818" i="34"/>
  <c r="A822" i="34"/>
  <c r="A826" i="34"/>
  <c r="A830" i="34"/>
  <c r="A425" i="34"/>
  <c r="A525" i="34"/>
  <c r="A529" i="34"/>
  <c r="A758" i="34"/>
  <c r="A762" i="34"/>
  <c r="A766" i="34"/>
  <c r="A770" i="34"/>
  <c r="A774" i="34"/>
  <c r="A778" i="34"/>
  <c r="A782" i="34"/>
  <c r="A786" i="34"/>
  <c r="A381" i="34"/>
  <c r="A385" i="34"/>
  <c r="A389" i="34"/>
  <c r="A393" i="34"/>
  <c r="A397" i="34"/>
  <c r="A401" i="34"/>
  <c r="A405" i="34"/>
  <c r="A409" i="34"/>
  <c r="A413" i="34"/>
  <c r="A417" i="34"/>
  <c r="A421" i="34"/>
  <c r="A539" i="34"/>
  <c r="A271" i="34"/>
  <c r="A275" i="34"/>
  <c r="A279" i="34"/>
  <c r="A283" i="34"/>
  <c r="A287" i="34"/>
  <c r="A291" i="34"/>
  <c r="A295" i="34"/>
  <c r="A299" i="34"/>
  <c r="A303" i="34"/>
  <c r="A307" i="34"/>
  <c r="A834" i="34"/>
  <c r="A788" i="34"/>
  <c r="A796" i="34"/>
  <c r="A812" i="34"/>
  <c r="A833" i="34"/>
  <c r="A837" i="34"/>
  <c r="A841" i="34"/>
  <c r="A1085" i="34"/>
  <c r="A791" i="34"/>
  <c r="A795" i="34"/>
  <c r="A799" i="34"/>
  <c r="A803" i="34"/>
  <c r="A807" i="34"/>
  <c r="A811" i="34"/>
  <c r="A815" i="34"/>
  <c r="A819" i="34"/>
  <c r="A823" i="34"/>
  <c r="A827" i="34"/>
  <c r="A831" i="34"/>
  <c r="A426" i="34"/>
  <c r="A526" i="34"/>
  <c r="A755" i="34"/>
  <c r="A759" i="34"/>
  <c r="A763" i="34"/>
  <c r="A767" i="34"/>
  <c r="A771" i="34"/>
  <c r="A775" i="34"/>
  <c r="A779" i="34"/>
  <c r="A783" i="34"/>
  <c r="A787" i="34"/>
  <c r="A382" i="34"/>
  <c r="A386" i="34"/>
  <c r="A390" i="34"/>
  <c r="A394" i="34"/>
  <c r="A398" i="34"/>
  <c r="A402" i="34"/>
  <c r="A406" i="34"/>
  <c r="A410" i="34"/>
  <c r="A414" i="34"/>
  <c r="A418" i="34"/>
  <c r="A422" i="34"/>
  <c r="A268" i="34"/>
  <c r="A272" i="34"/>
  <c r="A276" i="34"/>
  <c r="A280" i="34"/>
  <c r="A284" i="34"/>
  <c r="A288" i="34"/>
  <c r="A292" i="34"/>
  <c r="A296" i="34"/>
  <c r="A300" i="34"/>
  <c r="A304" i="34"/>
  <c r="A308" i="34"/>
  <c r="A792" i="34"/>
  <c r="A808" i="34"/>
  <c r="A820" i="34"/>
  <c r="A828" i="34"/>
  <c r="A423" i="34"/>
  <c r="A427" i="34"/>
  <c r="A527" i="34"/>
  <c r="A756" i="34"/>
  <c r="A760" i="34"/>
  <c r="A764" i="34"/>
  <c r="A768" i="34"/>
  <c r="A772" i="34"/>
  <c r="A776" i="34"/>
  <c r="A780" i="34"/>
  <c r="A784" i="34"/>
  <c r="A379" i="34"/>
  <c r="A383" i="34"/>
  <c r="A387" i="34"/>
  <c r="A391" i="34"/>
  <c r="A395" i="34"/>
  <c r="A399" i="34"/>
  <c r="A403" i="34"/>
  <c r="A407" i="34"/>
  <c r="A411" i="34"/>
  <c r="A415" i="34"/>
  <c r="A419" i="34"/>
  <c r="A537" i="34"/>
  <c r="A269" i="34"/>
  <c r="A273" i="34"/>
  <c r="A277" i="34"/>
  <c r="A281" i="34"/>
  <c r="A285" i="34"/>
  <c r="A289" i="34"/>
  <c r="A293" i="34"/>
  <c r="A297" i="34"/>
  <c r="A301" i="34"/>
  <c r="A305" i="34"/>
  <c r="B142" i="34"/>
  <c r="B141" i="34"/>
  <c r="Q141" i="34" l="1"/>
  <c r="R141" i="34"/>
  <c r="V141" i="34"/>
  <c r="AA141" i="34"/>
  <c r="P141" i="34"/>
  <c r="X141" i="34"/>
  <c r="AA142" i="34"/>
  <c r="P142" i="34"/>
  <c r="X142" i="34"/>
  <c r="Q142" i="34"/>
  <c r="R142" i="34"/>
  <c r="V142" i="34"/>
  <c r="A141" i="34"/>
  <c r="A142" i="34"/>
  <c r="A1572" i="34" l="1"/>
  <c r="B83" i="34"/>
  <c r="Q83" i="34" l="1"/>
  <c r="R83" i="34"/>
  <c r="V83" i="34"/>
  <c r="AA83" i="34"/>
  <c r="P83" i="34"/>
  <c r="X83" i="34"/>
  <c r="A8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B2068" i="34"/>
  <c r="B2113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0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323" i="34"/>
  <c r="B2324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012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131" i="34"/>
  <c r="B2132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353" i="34"/>
  <c r="B2354" i="34"/>
  <c r="B2355" i="34"/>
  <c r="B2356" i="34"/>
  <c r="B2357" i="34"/>
  <c r="B2358" i="34"/>
  <c r="B2359" i="34"/>
  <c r="B2053" i="34"/>
  <c r="B2232" i="34"/>
  <c r="B2133" i="34"/>
  <c r="A166" i="60"/>
  <c r="R2359" i="34" l="1"/>
  <c r="V2359" i="34"/>
  <c r="P2359" i="34"/>
  <c r="X2359" i="34"/>
  <c r="Q2359" i="34"/>
  <c r="AA2359" i="34"/>
  <c r="R2355" i="34"/>
  <c r="V2355" i="34"/>
  <c r="P2355" i="34"/>
  <c r="X2355" i="34"/>
  <c r="Q2355" i="34"/>
  <c r="AA2355" i="34"/>
  <c r="Q2269" i="34"/>
  <c r="R2269" i="34"/>
  <c r="V2269" i="34"/>
  <c r="AA2269" i="34"/>
  <c r="P2269" i="34"/>
  <c r="X2269" i="34"/>
  <c r="Q2265" i="34"/>
  <c r="R2265" i="34"/>
  <c r="V2265" i="34"/>
  <c r="AA2265" i="34"/>
  <c r="P2265" i="34"/>
  <c r="X2265" i="34"/>
  <c r="Q2261" i="34"/>
  <c r="R2261" i="34"/>
  <c r="V2261" i="34"/>
  <c r="AA2261" i="34"/>
  <c r="P2261" i="34"/>
  <c r="X2261" i="34"/>
  <c r="Q2257" i="34"/>
  <c r="R2257" i="34"/>
  <c r="V2257" i="34"/>
  <c r="AA2257" i="34"/>
  <c r="P2257" i="34"/>
  <c r="X2257" i="34"/>
  <c r="Q2253" i="34"/>
  <c r="R2253" i="34"/>
  <c r="V2253" i="34"/>
  <c r="AA2253" i="34"/>
  <c r="P2253" i="34"/>
  <c r="X2253" i="34"/>
  <c r="Q2249" i="34"/>
  <c r="R2249" i="34"/>
  <c r="V2249" i="34"/>
  <c r="AA2249" i="34"/>
  <c r="P2249" i="34"/>
  <c r="X2249" i="34"/>
  <c r="Q2245" i="34"/>
  <c r="R2245" i="34"/>
  <c r="V2245" i="34"/>
  <c r="AA2245" i="34"/>
  <c r="P2245" i="34"/>
  <c r="X2245" i="34"/>
  <c r="AA2146" i="34"/>
  <c r="P2146" i="34"/>
  <c r="X2146" i="34"/>
  <c r="Q2146" i="34"/>
  <c r="R2146" i="34"/>
  <c r="V2146" i="34"/>
  <c r="AA2142" i="34"/>
  <c r="P2142" i="34"/>
  <c r="X2142" i="34"/>
  <c r="Q2142" i="34"/>
  <c r="R2142" i="34"/>
  <c r="V2142" i="34"/>
  <c r="AA2138" i="34"/>
  <c r="P2138" i="34"/>
  <c r="X2138" i="34"/>
  <c r="Q2138" i="34"/>
  <c r="R2138" i="34"/>
  <c r="V2138" i="34"/>
  <c r="AA2134" i="34"/>
  <c r="P2134" i="34"/>
  <c r="X2134" i="34"/>
  <c r="Q2134" i="34"/>
  <c r="R2134" i="34"/>
  <c r="V2134" i="34"/>
  <c r="Q2083" i="34"/>
  <c r="R2083" i="34"/>
  <c r="V2083" i="34"/>
  <c r="AA2083" i="34"/>
  <c r="P2083" i="34"/>
  <c r="X2083" i="34"/>
  <c r="Q2079" i="34"/>
  <c r="R2079" i="34"/>
  <c r="V2079" i="34"/>
  <c r="AA2079" i="34"/>
  <c r="P2079" i="34"/>
  <c r="X2079" i="34"/>
  <c r="Q2075" i="34"/>
  <c r="R2075" i="34"/>
  <c r="V2075" i="34"/>
  <c r="AA2075" i="34"/>
  <c r="P2075" i="34"/>
  <c r="X2075" i="34"/>
  <c r="Q2071" i="34"/>
  <c r="R2071" i="34"/>
  <c r="V2071" i="34"/>
  <c r="AA2071" i="34"/>
  <c r="P2071" i="34"/>
  <c r="X2071" i="34"/>
  <c r="P2352" i="34"/>
  <c r="X2352" i="34"/>
  <c r="R2352" i="34"/>
  <c r="V2352" i="34"/>
  <c r="AA2352" i="34"/>
  <c r="Q2352" i="34"/>
  <c r="P2348" i="34"/>
  <c r="X2348" i="34"/>
  <c r="R2348" i="34"/>
  <c r="V2348" i="34"/>
  <c r="AA2348" i="34"/>
  <c r="Q2348" i="34"/>
  <c r="P2344" i="34"/>
  <c r="X2344" i="34"/>
  <c r="R2344" i="34"/>
  <c r="V2344" i="34"/>
  <c r="AA2344" i="34"/>
  <c r="Q2344" i="34"/>
  <c r="P2340" i="34"/>
  <c r="X2340" i="34"/>
  <c r="R2340" i="34"/>
  <c r="V2340" i="34"/>
  <c r="AA2340" i="34"/>
  <c r="Q2340" i="34"/>
  <c r="P2336" i="34"/>
  <c r="X2336" i="34"/>
  <c r="R2336" i="34"/>
  <c r="V2336" i="34"/>
  <c r="AA2336" i="34"/>
  <c r="Q2336" i="34"/>
  <c r="P2332" i="34"/>
  <c r="X2332" i="34"/>
  <c r="R2332" i="34"/>
  <c r="V2332" i="34"/>
  <c r="AA2332" i="34"/>
  <c r="Q2332" i="34"/>
  <c r="P2328" i="34"/>
  <c r="X2328" i="34"/>
  <c r="R2328" i="34"/>
  <c r="V2328" i="34"/>
  <c r="AA2328" i="34"/>
  <c r="Q2328" i="34"/>
  <c r="P2324" i="34"/>
  <c r="X2324" i="34"/>
  <c r="R2324" i="34"/>
  <c r="V2324" i="34"/>
  <c r="AA2324" i="34"/>
  <c r="Q2324" i="34"/>
  <c r="Q2241" i="34"/>
  <c r="R2241" i="34"/>
  <c r="V2241" i="34"/>
  <c r="AA2241" i="34"/>
  <c r="P2241" i="34"/>
  <c r="X2241" i="34"/>
  <c r="Q2237" i="34"/>
  <c r="R2237" i="34"/>
  <c r="V2237" i="34"/>
  <c r="AA2237" i="34"/>
  <c r="P2237" i="34"/>
  <c r="X2237" i="34"/>
  <c r="Q2233" i="34"/>
  <c r="R2233" i="34"/>
  <c r="V2233" i="34"/>
  <c r="AA2233" i="34"/>
  <c r="P2233" i="34"/>
  <c r="X2233" i="34"/>
  <c r="AA2228" i="34"/>
  <c r="P2228" i="34"/>
  <c r="X2228" i="34"/>
  <c r="Q2228" i="34"/>
  <c r="R2228" i="34"/>
  <c r="V2228" i="34"/>
  <c r="AA2224" i="34"/>
  <c r="P2224" i="34"/>
  <c r="X2224" i="34"/>
  <c r="Q2224" i="34"/>
  <c r="R2224" i="34"/>
  <c r="V2224" i="34"/>
  <c r="AA2220" i="34"/>
  <c r="P2220" i="34"/>
  <c r="X2220" i="34"/>
  <c r="Q2220" i="34"/>
  <c r="R2220" i="34"/>
  <c r="V2220" i="34"/>
  <c r="AA2130" i="34"/>
  <c r="P2130" i="34"/>
  <c r="X2130" i="34"/>
  <c r="Q2130" i="34"/>
  <c r="R2130" i="34"/>
  <c r="V2130" i="34"/>
  <c r="AA2126" i="34"/>
  <c r="P2126" i="34"/>
  <c r="X2126" i="34"/>
  <c r="Q2126" i="34"/>
  <c r="R2126" i="34"/>
  <c r="V2126" i="34"/>
  <c r="AA2122" i="34"/>
  <c r="P2122" i="34"/>
  <c r="X2122" i="34"/>
  <c r="Q2122" i="34"/>
  <c r="R2122" i="34"/>
  <c r="V2122" i="34"/>
  <c r="AA2118" i="34"/>
  <c r="P2118" i="34"/>
  <c r="X2118" i="34"/>
  <c r="Q2118" i="34"/>
  <c r="R2118" i="34"/>
  <c r="V2118" i="34"/>
  <c r="AA2114" i="34"/>
  <c r="P2114" i="34"/>
  <c r="X2114" i="34"/>
  <c r="Q2114" i="34"/>
  <c r="R2114" i="34"/>
  <c r="V2114" i="34"/>
  <c r="AA2066" i="34"/>
  <c r="P2066" i="34"/>
  <c r="X2066" i="34"/>
  <c r="Q2066" i="34"/>
  <c r="R2066" i="34"/>
  <c r="V2066" i="34"/>
  <c r="AA2062" i="34"/>
  <c r="P2062" i="34"/>
  <c r="X2062" i="34"/>
  <c r="Q2062" i="34"/>
  <c r="R2062" i="34"/>
  <c r="V2062" i="34"/>
  <c r="AA2058" i="34"/>
  <c r="P2058" i="34"/>
  <c r="X2058" i="34"/>
  <c r="Q2058" i="34"/>
  <c r="R2058" i="34"/>
  <c r="V2058" i="34"/>
  <c r="AA2054" i="34"/>
  <c r="P2054" i="34"/>
  <c r="X2054" i="34"/>
  <c r="Q2054" i="34"/>
  <c r="R2054" i="34"/>
  <c r="V2054" i="34"/>
  <c r="Q2133" i="34"/>
  <c r="R2133" i="34"/>
  <c r="V2133" i="34"/>
  <c r="AA2133" i="34"/>
  <c r="P2133" i="34"/>
  <c r="X2133" i="34"/>
  <c r="P2358" i="34"/>
  <c r="X2358" i="34"/>
  <c r="R2358" i="34"/>
  <c r="V2358" i="34"/>
  <c r="AA2358" i="34"/>
  <c r="Q2358" i="34"/>
  <c r="P2354" i="34"/>
  <c r="X2354" i="34"/>
  <c r="R2354" i="34"/>
  <c r="V2354" i="34"/>
  <c r="AA2354" i="34"/>
  <c r="Q2354" i="34"/>
  <c r="AA2268" i="34"/>
  <c r="P2268" i="34"/>
  <c r="X2268" i="34"/>
  <c r="Q2268" i="34"/>
  <c r="R2268" i="34"/>
  <c r="V2268" i="34"/>
  <c r="AA2264" i="34"/>
  <c r="P2264" i="34"/>
  <c r="X2264" i="34"/>
  <c r="Q2264" i="34"/>
  <c r="R2264" i="34"/>
  <c r="V2264" i="34"/>
  <c r="AA2260" i="34"/>
  <c r="P2260" i="34"/>
  <c r="X2260" i="34"/>
  <c r="Q2260" i="34"/>
  <c r="R2260" i="34"/>
  <c r="V2260" i="34"/>
  <c r="AA2256" i="34"/>
  <c r="P2256" i="34"/>
  <c r="X2256" i="34"/>
  <c r="Q2256" i="34"/>
  <c r="R2256" i="34"/>
  <c r="V2256" i="34"/>
  <c r="AA2252" i="34"/>
  <c r="P2252" i="34"/>
  <c r="X2252" i="34"/>
  <c r="Q2252" i="34"/>
  <c r="R2252" i="34"/>
  <c r="V2252" i="34"/>
  <c r="AA2248" i="34"/>
  <c r="P2248" i="34"/>
  <c r="X2248" i="34"/>
  <c r="Q2248" i="34"/>
  <c r="R2248" i="34"/>
  <c r="V2248" i="34"/>
  <c r="AA2244" i="34"/>
  <c r="P2244" i="34"/>
  <c r="X2244" i="34"/>
  <c r="Q2244" i="34"/>
  <c r="R2244" i="34"/>
  <c r="V2244" i="34"/>
  <c r="Q2145" i="34"/>
  <c r="R2145" i="34"/>
  <c r="V2145" i="34"/>
  <c r="AA2145" i="34"/>
  <c r="P2145" i="34"/>
  <c r="X2145" i="34"/>
  <c r="Q2141" i="34"/>
  <c r="R2141" i="34"/>
  <c r="V2141" i="34"/>
  <c r="AA2141" i="34"/>
  <c r="P2141" i="34"/>
  <c r="X2141" i="34"/>
  <c r="Q2137" i="34"/>
  <c r="R2137" i="34"/>
  <c r="V2137" i="34"/>
  <c r="AA2137" i="34"/>
  <c r="P2137" i="34"/>
  <c r="X2137" i="34"/>
  <c r="AA2132" i="34"/>
  <c r="P2132" i="34"/>
  <c r="X2132" i="34"/>
  <c r="Q2132" i="34"/>
  <c r="R2132" i="34"/>
  <c r="V2132" i="34"/>
  <c r="AA2082" i="34"/>
  <c r="P2082" i="34"/>
  <c r="X2082" i="34"/>
  <c r="Q2082" i="34"/>
  <c r="R2082" i="34"/>
  <c r="V2082" i="34"/>
  <c r="AA2078" i="34"/>
  <c r="P2078" i="34"/>
  <c r="X2078" i="34"/>
  <c r="Q2078" i="34"/>
  <c r="R2078" i="34"/>
  <c r="V2078" i="34"/>
  <c r="AA2074" i="34"/>
  <c r="P2074" i="34"/>
  <c r="X2074" i="34"/>
  <c r="Q2074" i="34"/>
  <c r="R2074" i="34"/>
  <c r="V2074" i="34"/>
  <c r="AA2070" i="34"/>
  <c r="P2070" i="34"/>
  <c r="X2070" i="34"/>
  <c r="Q2070" i="34"/>
  <c r="R2070" i="34"/>
  <c r="V2070" i="34"/>
  <c r="R2351" i="34"/>
  <c r="V2351" i="34"/>
  <c r="P2351" i="34"/>
  <c r="X2351" i="34"/>
  <c r="Q2351" i="34"/>
  <c r="AA2351" i="34"/>
  <c r="R2347" i="34"/>
  <c r="V2347" i="34"/>
  <c r="P2347" i="34"/>
  <c r="X2347" i="34"/>
  <c r="Q2347" i="34"/>
  <c r="AA2347" i="34"/>
  <c r="R2343" i="34"/>
  <c r="V2343" i="34"/>
  <c r="P2343" i="34"/>
  <c r="X2343" i="34"/>
  <c r="Q2343" i="34"/>
  <c r="AA2343" i="34"/>
  <c r="R2339" i="34"/>
  <c r="V2339" i="34"/>
  <c r="P2339" i="34"/>
  <c r="X2339" i="34"/>
  <c r="Q2339" i="34"/>
  <c r="AA2339" i="34"/>
  <c r="R2335" i="34"/>
  <c r="V2335" i="34"/>
  <c r="P2335" i="34"/>
  <c r="X2335" i="34"/>
  <c r="Q2335" i="34"/>
  <c r="AA2335" i="34"/>
  <c r="R2331" i="34"/>
  <c r="V2331" i="34"/>
  <c r="P2331" i="34"/>
  <c r="X2331" i="34"/>
  <c r="Q2331" i="34"/>
  <c r="AA2331" i="34"/>
  <c r="R2327" i="34"/>
  <c r="V2327" i="34"/>
  <c r="P2327" i="34"/>
  <c r="X2327" i="34"/>
  <c r="Q2327" i="34"/>
  <c r="AA2327" i="34"/>
  <c r="R2323" i="34"/>
  <c r="V2323" i="34"/>
  <c r="P2323" i="34"/>
  <c r="X2323" i="34"/>
  <c r="Q2323" i="34"/>
  <c r="AA2323" i="34"/>
  <c r="AA2240" i="34"/>
  <c r="P2240" i="34"/>
  <c r="X2240" i="34"/>
  <c r="Q2240" i="34"/>
  <c r="R2240" i="34"/>
  <c r="V2240" i="34"/>
  <c r="AA2236" i="34"/>
  <c r="P2236" i="34"/>
  <c r="X2236" i="34"/>
  <c r="Q2236" i="34"/>
  <c r="R2236" i="34"/>
  <c r="V2236" i="34"/>
  <c r="Q2231" i="34"/>
  <c r="R2231" i="34"/>
  <c r="V2231" i="34"/>
  <c r="AA2231" i="34"/>
  <c r="P2231" i="34"/>
  <c r="X2231" i="34"/>
  <c r="Q2227" i="34"/>
  <c r="R2227" i="34"/>
  <c r="V2227" i="34"/>
  <c r="AA2227" i="34"/>
  <c r="P2227" i="34"/>
  <c r="X2227" i="34"/>
  <c r="Q2223" i="34"/>
  <c r="R2223" i="34"/>
  <c r="V2223" i="34"/>
  <c r="AA2223" i="34"/>
  <c r="P2223" i="34"/>
  <c r="X2223" i="34"/>
  <c r="Q2219" i="34"/>
  <c r="R2219" i="34"/>
  <c r="V2219" i="34"/>
  <c r="AA2219" i="34"/>
  <c r="P2219" i="34"/>
  <c r="X2219" i="34"/>
  <c r="Q2129" i="34"/>
  <c r="R2129" i="34"/>
  <c r="V2129" i="34"/>
  <c r="AA2129" i="34"/>
  <c r="P2129" i="34"/>
  <c r="X2129" i="34"/>
  <c r="Q2125" i="34"/>
  <c r="R2125" i="34"/>
  <c r="V2125" i="34"/>
  <c r="AA2125" i="34"/>
  <c r="P2125" i="34"/>
  <c r="X2125" i="34"/>
  <c r="Q2121" i="34"/>
  <c r="R2121" i="34"/>
  <c r="V2121" i="34"/>
  <c r="AA2121" i="34"/>
  <c r="P2121" i="34"/>
  <c r="X2121" i="34"/>
  <c r="Q2117" i="34"/>
  <c r="R2117" i="34"/>
  <c r="V2117" i="34"/>
  <c r="AA2117" i="34"/>
  <c r="P2117" i="34"/>
  <c r="X2117" i="34"/>
  <c r="Q2113" i="34"/>
  <c r="R2113" i="34"/>
  <c r="V2113" i="34"/>
  <c r="AA2113" i="34"/>
  <c r="P2113" i="34"/>
  <c r="X2113" i="34"/>
  <c r="Q2065" i="34"/>
  <c r="R2065" i="34"/>
  <c r="V2065" i="34"/>
  <c r="AA2065" i="34"/>
  <c r="P2065" i="34"/>
  <c r="X2065" i="34"/>
  <c r="Q2061" i="34"/>
  <c r="R2061" i="34"/>
  <c r="V2061" i="34"/>
  <c r="AA2061" i="34"/>
  <c r="P2061" i="34"/>
  <c r="X2061" i="34"/>
  <c r="Q2057" i="34"/>
  <c r="R2057" i="34"/>
  <c r="V2057" i="34"/>
  <c r="AA2057" i="34"/>
  <c r="P2057" i="34"/>
  <c r="X2057" i="34"/>
  <c r="AA2232" i="34"/>
  <c r="P2232" i="34"/>
  <c r="X2232" i="34"/>
  <c r="Q2232" i="34"/>
  <c r="R2232" i="34"/>
  <c r="V2232" i="34"/>
  <c r="R2357" i="34"/>
  <c r="V2357" i="34"/>
  <c r="P2357" i="34"/>
  <c r="X2357" i="34"/>
  <c r="Q2357" i="34"/>
  <c r="AA2357" i="34"/>
  <c r="R2353" i="34"/>
  <c r="V2353" i="34"/>
  <c r="P2353" i="34"/>
  <c r="X2353" i="34"/>
  <c r="Q2353" i="34"/>
  <c r="AA2353" i="34"/>
  <c r="Q2267" i="34"/>
  <c r="R2267" i="34"/>
  <c r="V2267" i="34"/>
  <c r="AA2267" i="34"/>
  <c r="P2267" i="34"/>
  <c r="X2267" i="34"/>
  <c r="Q2263" i="34"/>
  <c r="R2263" i="34"/>
  <c r="V2263" i="34"/>
  <c r="AA2263" i="34"/>
  <c r="P2263" i="34"/>
  <c r="X2263" i="34"/>
  <c r="Q2259" i="34"/>
  <c r="R2259" i="34"/>
  <c r="V2259" i="34"/>
  <c r="AA2259" i="34"/>
  <c r="P2259" i="34"/>
  <c r="X2259" i="34"/>
  <c r="Q2255" i="34"/>
  <c r="R2255" i="34"/>
  <c r="V2255" i="34"/>
  <c r="AA2255" i="34"/>
  <c r="P2255" i="34"/>
  <c r="X2255" i="34"/>
  <c r="Q2251" i="34"/>
  <c r="R2251" i="34"/>
  <c r="V2251" i="34"/>
  <c r="AA2251" i="34"/>
  <c r="P2251" i="34"/>
  <c r="X2251" i="34"/>
  <c r="Q2247" i="34"/>
  <c r="R2247" i="34"/>
  <c r="V2247" i="34"/>
  <c r="AA2247" i="34"/>
  <c r="P2247" i="34"/>
  <c r="X2247" i="34"/>
  <c r="AA2148" i="34"/>
  <c r="P2148" i="34"/>
  <c r="X2148" i="34"/>
  <c r="Q2148" i="34"/>
  <c r="R2148" i="34"/>
  <c r="V2148" i="34"/>
  <c r="AA2144" i="34"/>
  <c r="P2144" i="34"/>
  <c r="X2144" i="34"/>
  <c r="Q2144" i="34"/>
  <c r="R2144" i="34"/>
  <c r="V2144" i="34"/>
  <c r="AA2140" i="34"/>
  <c r="P2140" i="34"/>
  <c r="X2140" i="34"/>
  <c r="Q2140" i="34"/>
  <c r="R2140" i="34"/>
  <c r="V2140" i="34"/>
  <c r="AA2136" i="34"/>
  <c r="P2136" i="34"/>
  <c r="X2136" i="34"/>
  <c r="Q2136" i="34"/>
  <c r="R2136" i="34"/>
  <c r="V2136" i="34"/>
  <c r="Q2131" i="34"/>
  <c r="R2131" i="34"/>
  <c r="V2131" i="34"/>
  <c r="AA2131" i="34"/>
  <c r="P2131" i="34"/>
  <c r="X2131" i="34"/>
  <c r="Q2081" i="34"/>
  <c r="R2081" i="34"/>
  <c r="V2081" i="34"/>
  <c r="AA2081" i="34"/>
  <c r="P2081" i="34"/>
  <c r="X2081" i="34"/>
  <c r="Q2077" i="34"/>
  <c r="R2077" i="34"/>
  <c r="V2077" i="34"/>
  <c r="AA2077" i="34"/>
  <c r="P2077" i="34"/>
  <c r="X2077" i="34"/>
  <c r="Q2073" i="34"/>
  <c r="R2073" i="34"/>
  <c r="V2073" i="34"/>
  <c r="AA2073" i="34"/>
  <c r="P2073" i="34"/>
  <c r="X2073" i="34"/>
  <c r="Q2069" i="34"/>
  <c r="R2069" i="34"/>
  <c r="V2069" i="34"/>
  <c r="AA2069" i="34"/>
  <c r="P2069" i="34"/>
  <c r="X2069" i="34"/>
  <c r="P2350" i="34"/>
  <c r="X2350" i="34"/>
  <c r="R2350" i="34"/>
  <c r="V2350" i="34"/>
  <c r="AA2350" i="34"/>
  <c r="Q2350" i="34"/>
  <c r="P2346" i="34"/>
  <c r="X2346" i="34"/>
  <c r="R2346" i="34"/>
  <c r="V2346" i="34"/>
  <c r="AA2346" i="34"/>
  <c r="Q2346" i="34"/>
  <c r="P2342" i="34"/>
  <c r="X2342" i="34"/>
  <c r="R2342" i="34"/>
  <c r="V2342" i="34"/>
  <c r="AA2342" i="34"/>
  <c r="Q2342" i="34"/>
  <c r="P2338" i="34"/>
  <c r="X2338" i="34"/>
  <c r="R2338" i="34"/>
  <c r="V2338" i="34"/>
  <c r="AA2338" i="34"/>
  <c r="Q2338" i="34"/>
  <c r="P2334" i="34"/>
  <c r="X2334" i="34"/>
  <c r="R2334" i="34"/>
  <c r="V2334" i="34"/>
  <c r="AA2334" i="34"/>
  <c r="Q2334" i="34"/>
  <c r="P2330" i="34"/>
  <c r="X2330" i="34"/>
  <c r="R2330" i="34"/>
  <c r="V2330" i="34"/>
  <c r="AA2330" i="34"/>
  <c r="Q2330" i="34"/>
  <c r="P2326" i="34"/>
  <c r="X2326" i="34"/>
  <c r="R2326" i="34"/>
  <c r="V2326" i="34"/>
  <c r="AA2326" i="34"/>
  <c r="Q2326" i="34"/>
  <c r="Q2243" i="34"/>
  <c r="R2243" i="34"/>
  <c r="V2243" i="34"/>
  <c r="AA2243" i="34"/>
  <c r="P2243" i="34"/>
  <c r="X2243" i="34"/>
  <c r="Q2239" i="34"/>
  <c r="R2239" i="34"/>
  <c r="V2239" i="34"/>
  <c r="AA2239" i="34"/>
  <c r="P2239" i="34"/>
  <c r="X2239" i="34"/>
  <c r="Q2235" i="34"/>
  <c r="R2235" i="34"/>
  <c r="V2235" i="34"/>
  <c r="AA2235" i="34"/>
  <c r="P2235" i="34"/>
  <c r="X2235" i="34"/>
  <c r="AA2230" i="34"/>
  <c r="P2230" i="34"/>
  <c r="X2230" i="34"/>
  <c r="Q2230" i="34"/>
  <c r="R2230" i="34"/>
  <c r="V2230" i="34"/>
  <c r="AA2226" i="34"/>
  <c r="P2226" i="34"/>
  <c r="X2226" i="34"/>
  <c r="Q2226" i="34"/>
  <c r="R2226" i="34"/>
  <c r="V2226" i="34"/>
  <c r="AA2222" i="34"/>
  <c r="P2222" i="34"/>
  <c r="X2222" i="34"/>
  <c r="Q2222" i="34"/>
  <c r="R2222" i="34"/>
  <c r="V2222" i="34"/>
  <c r="AA2218" i="34"/>
  <c r="P2218" i="34"/>
  <c r="X2218" i="34"/>
  <c r="Q2218" i="34"/>
  <c r="R2218" i="34"/>
  <c r="V2218" i="34"/>
  <c r="AA2128" i="34"/>
  <c r="P2128" i="34"/>
  <c r="X2128" i="34"/>
  <c r="Q2128" i="34"/>
  <c r="R2128" i="34"/>
  <c r="V2128" i="34"/>
  <c r="AA2124" i="34"/>
  <c r="P2124" i="34"/>
  <c r="X2124" i="34"/>
  <c r="Q2124" i="34"/>
  <c r="R2124" i="34"/>
  <c r="V2124" i="34"/>
  <c r="AA2120" i="34"/>
  <c r="P2120" i="34"/>
  <c r="X2120" i="34"/>
  <c r="Q2120" i="34"/>
  <c r="R2120" i="34"/>
  <c r="V2120" i="34"/>
  <c r="AA2116" i="34"/>
  <c r="P2116" i="34"/>
  <c r="X2116" i="34"/>
  <c r="Q2116" i="34"/>
  <c r="R2116" i="34"/>
  <c r="V2116" i="34"/>
  <c r="AA2068" i="34"/>
  <c r="P2068" i="34"/>
  <c r="X2068" i="34"/>
  <c r="Q2068" i="34"/>
  <c r="R2068" i="34"/>
  <c r="V2068" i="34"/>
  <c r="AA2064" i="34"/>
  <c r="P2064" i="34"/>
  <c r="X2064" i="34"/>
  <c r="Q2064" i="34"/>
  <c r="R2064" i="34"/>
  <c r="V2064" i="34"/>
  <c r="AA2060" i="34"/>
  <c r="P2060" i="34"/>
  <c r="X2060" i="34"/>
  <c r="Q2060" i="34"/>
  <c r="R2060" i="34"/>
  <c r="V2060" i="34"/>
  <c r="AA2056" i="34"/>
  <c r="P2056" i="34"/>
  <c r="X2056" i="34"/>
  <c r="Q2056" i="34"/>
  <c r="R2056" i="34"/>
  <c r="V2056" i="34"/>
  <c r="Q2053" i="34"/>
  <c r="R2053" i="34"/>
  <c r="V2053" i="34"/>
  <c r="AA2053" i="34"/>
  <c r="P2053" i="34"/>
  <c r="X2053" i="34"/>
  <c r="P2356" i="34"/>
  <c r="X2356" i="34"/>
  <c r="R2356" i="34"/>
  <c r="V2356" i="34"/>
  <c r="AA2356" i="34"/>
  <c r="Q2356" i="34"/>
  <c r="AA2270" i="34"/>
  <c r="P2270" i="34"/>
  <c r="X2270" i="34"/>
  <c r="Q2270" i="34"/>
  <c r="R2270" i="34"/>
  <c r="V2270" i="34"/>
  <c r="AA2266" i="34"/>
  <c r="P2266" i="34"/>
  <c r="X2266" i="34"/>
  <c r="Q2266" i="34"/>
  <c r="R2266" i="34"/>
  <c r="V2266" i="34"/>
  <c r="AA2262" i="34"/>
  <c r="P2262" i="34"/>
  <c r="X2262" i="34"/>
  <c r="Q2262" i="34"/>
  <c r="R2262" i="34"/>
  <c r="V2262" i="34"/>
  <c r="AA2258" i="34"/>
  <c r="P2258" i="34"/>
  <c r="X2258" i="34"/>
  <c r="Q2258" i="34"/>
  <c r="R2258" i="34"/>
  <c r="V2258" i="34"/>
  <c r="AA2254" i="34"/>
  <c r="P2254" i="34"/>
  <c r="X2254" i="34"/>
  <c r="Q2254" i="34"/>
  <c r="R2254" i="34"/>
  <c r="V2254" i="34"/>
  <c r="AA2250" i="34"/>
  <c r="P2250" i="34"/>
  <c r="X2250" i="34"/>
  <c r="Q2250" i="34"/>
  <c r="R2250" i="34"/>
  <c r="V2250" i="34"/>
  <c r="AA2246" i="34"/>
  <c r="P2246" i="34"/>
  <c r="X2246" i="34"/>
  <c r="Q2246" i="34"/>
  <c r="R2246" i="34"/>
  <c r="V2246" i="34"/>
  <c r="Q2147" i="34"/>
  <c r="R2147" i="34"/>
  <c r="V2147" i="34"/>
  <c r="AA2147" i="34"/>
  <c r="P2147" i="34"/>
  <c r="X2147" i="34"/>
  <c r="Q2143" i="34"/>
  <c r="R2143" i="34"/>
  <c r="V2143" i="34"/>
  <c r="AA2143" i="34"/>
  <c r="P2143" i="34"/>
  <c r="X2143" i="34"/>
  <c r="Q2139" i="34"/>
  <c r="R2139" i="34"/>
  <c r="V2139" i="34"/>
  <c r="AA2139" i="34"/>
  <c r="P2139" i="34"/>
  <c r="X2139" i="34"/>
  <c r="Q2135" i="34"/>
  <c r="R2135" i="34"/>
  <c r="V2135" i="34"/>
  <c r="AA2135" i="34"/>
  <c r="P2135" i="34"/>
  <c r="X2135" i="34"/>
  <c r="AA2084" i="34"/>
  <c r="P2084" i="34"/>
  <c r="X2084" i="34"/>
  <c r="Q2084" i="34"/>
  <c r="R2084" i="34"/>
  <c r="V2084" i="34"/>
  <c r="AA2080" i="34"/>
  <c r="P2080" i="34"/>
  <c r="X2080" i="34"/>
  <c r="Q2080" i="34"/>
  <c r="R2080" i="34"/>
  <c r="V2080" i="34"/>
  <c r="AA2076" i="34"/>
  <c r="P2076" i="34"/>
  <c r="X2076" i="34"/>
  <c r="Q2076" i="34"/>
  <c r="R2076" i="34"/>
  <c r="V2076" i="34"/>
  <c r="AA2072" i="34"/>
  <c r="P2072" i="34"/>
  <c r="X2072" i="34"/>
  <c r="Q2072" i="34"/>
  <c r="R2072" i="34"/>
  <c r="V2072" i="34"/>
  <c r="AA2012" i="34"/>
  <c r="P2012" i="34"/>
  <c r="X2012" i="34"/>
  <c r="Q2012" i="34"/>
  <c r="R2012" i="34"/>
  <c r="V2012" i="34"/>
  <c r="R2349" i="34"/>
  <c r="V2349" i="34"/>
  <c r="P2349" i="34"/>
  <c r="X2349" i="34"/>
  <c r="Q2349" i="34"/>
  <c r="AA2349" i="34"/>
  <c r="R2345" i="34"/>
  <c r="V2345" i="34"/>
  <c r="P2345" i="34"/>
  <c r="X2345" i="34"/>
  <c r="Q2345" i="34"/>
  <c r="AA2345" i="34"/>
  <c r="R2341" i="34"/>
  <c r="V2341" i="34"/>
  <c r="P2341" i="34"/>
  <c r="X2341" i="34"/>
  <c r="Q2341" i="34"/>
  <c r="AA2341" i="34"/>
  <c r="R2337" i="34"/>
  <c r="V2337" i="34"/>
  <c r="P2337" i="34"/>
  <c r="X2337" i="34"/>
  <c r="Q2337" i="34"/>
  <c r="AA2337" i="34"/>
  <c r="R2333" i="34"/>
  <c r="V2333" i="34"/>
  <c r="P2333" i="34"/>
  <c r="X2333" i="34"/>
  <c r="Q2333" i="34"/>
  <c r="AA2333" i="34"/>
  <c r="R2329" i="34"/>
  <c r="V2329" i="34"/>
  <c r="P2329" i="34"/>
  <c r="X2329" i="34"/>
  <c r="Q2329" i="34"/>
  <c r="AA2329" i="34"/>
  <c r="R2325" i="34"/>
  <c r="V2325" i="34"/>
  <c r="P2325" i="34"/>
  <c r="X2325" i="34"/>
  <c r="Q2325" i="34"/>
  <c r="AA2325" i="34"/>
  <c r="AA2242" i="34"/>
  <c r="P2242" i="34"/>
  <c r="X2242" i="34"/>
  <c r="Q2242" i="34"/>
  <c r="R2242" i="34"/>
  <c r="V2242" i="34"/>
  <c r="AA2238" i="34"/>
  <c r="P2238" i="34"/>
  <c r="X2238" i="34"/>
  <c r="Q2238" i="34"/>
  <c r="R2238" i="34"/>
  <c r="V2238" i="34"/>
  <c r="AA2234" i="34"/>
  <c r="P2234" i="34"/>
  <c r="X2234" i="34"/>
  <c r="Q2234" i="34"/>
  <c r="R2234" i="34"/>
  <c r="V2234" i="34"/>
  <c r="Q2229" i="34"/>
  <c r="R2229" i="34"/>
  <c r="V2229" i="34"/>
  <c r="AA2229" i="34"/>
  <c r="P2229" i="34"/>
  <c r="X2229" i="34"/>
  <c r="Q2225" i="34"/>
  <c r="R2225" i="34"/>
  <c r="V2225" i="34"/>
  <c r="AA2225" i="34"/>
  <c r="P2225" i="34"/>
  <c r="X2225" i="34"/>
  <c r="Q2221" i="34"/>
  <c r="R2221" i="34"/>
  <c r="V2221" i="34"/>
  <c r="AA2221" i="34"/>
  <c r="P2221" i="34"/>
  <c r="X2221" i="34"/>
  <c r="Q2217" i="34"/>
  <c r="R2217" i="34"/>
  <c r="V2217" i="34"/>
  <c r="AA2217" i="34"/>
  <c r="P2217" i="34"/>
  <c r="X2217" i="34"/>
  <c r="Q2127" i="34"/>
  <c r="R2127" i="34"/>
  <c r="V2127" i="34"/>
  <c r="AA2127" i="34"/>
  <c r="P2127" i="34"/>
  <c r="X2127" i="34"/>
  <c r="Q2123" i="34"/>
  <c r="R2123" i="34"/>
  <c r="V2123" i="34"/>
  <c r="AA2123" i="34"/>
  <c r="P2123" i="34"/>
  <c r="X2123" i="34"/>
  <c r="Q2119" i="34"/>
  <c r="R2119" i="34"/>
  <c r="V2119" i="34"/>
  <c r="AA2119" i="34"/>
  <c r="P2119" i="34"/>
  <c r="X2119" i="34"/>
  <c r="Q2115" i="34"/>
  <c r="R2115" i="34"/>
  <c r="V2115" i="34"/>
  <c r="AA2115" i="34"/>
  <c r="P2115" i="34"/>
  <c r="X2115" i="34"/>
  <c r="Q2067" i="34"/>
  <c r="R2067" i="34"/>
  <c r="V2067" i="34"/>
  <c r="AA2067" i="34"/>
  <c r="P2067" i="34"/>
  <c r="X2067" i="34"/>
  <c r="Q2063" i="34"/>
  <c r="R2063" i="34"/>
  <c r="V2063" i="34"/>
  <c r="AA2063" i="34"/>
  <c r="P2063" i="34"/>
  <c r="X2063" i="34"/>
  <c r="Q2059" i="34"/>
  <c r="R2059" i="34"/>
  <c r="V2059" i="34"/>
  <c r="AA2059" i="34"/>
  <c r="P2059" i="34"/>
  <c r="X2059" i="34"/>
  <c r="Q2055" i="34"/>
  <c r="R2055" i="34"/>
  <c r="V2055" i="34"/>
  <c r="AA2055" i="34"/>
  <c r="P2055" i="34"/>
  <c r="X2055" i="34"/>
  <c r="A2359" i="34"/>
  <c r="A2355" i="34"/>
  <c r="A2269" i="34"/>
  <c r="A2265" i="34"/>
  <c r="A2261" i="34"/>
  <c r="A2257" i="34"/>
  <c r="A2253" i="34"/>
  <c r="A2249" i="34"/>
  <c r="A2245" i="34"/>
  <c r="A2146" i="34"/>
  <c r="A2142" i="34"/>
  <c r="A2138" i="34"/>
  <c r="A2134" i="34"/>
  <c r="A2084" i="34"/>
  <c r="A2080" i="34"/>
  <c r="A2076" i="34"/>
  <c r="A2072" i="34"/>
  <c r="A2012" i="34"/>
  <c r="A2349" i="34"/>
  <c r="A2345" i="34"/>
  <c r="A2341" i="34"/>
  <c r="A2337" i="34"/>
  <c r="A2333" i="34"/>
  <c r="A2329" i="34"/>
  <c r="A2325" i="34"/>
  <c r="A2242" i="34"/>
  <c r="A2238" i="34"/>
  <c r="A2234" i="34"/>
  <c r="A2230" i="34"/>
  <c r="A2226" i="34"/>
  <c r="A2222" i="34"/>
  <c r="A2218" i="34"/>
  <c r="A2128" i="34"/>
  <c r="A2124" i="34"/>
  <c r="A2120" i="34"/>
  <c r="A2116" i="34"/>
  <c r="A2068" i="34"/>
  <c r="A2064" i="34"/>
  <c r="A2060" i="34"/>
  <c r="A2056" i="34"/>
  <c r="A2133" i="34"/>
  <c r="A2358" i="34"/>
  <c r="A2354" i="34"/>
  <c r="A2268" i="34"/>
  <c r="A2264" i="34"/>
  <c r="A2260" i="34"/>
  <c r="A2256" i="34"/>
  <c r="A2252" i="34"/>
  <c r="A2248" i="34"/>
  <c r="A2244" i="34"/>
  <c r="A2145" i="34"/>
  <c r="A2141" i="34"/>
  <c r="A2137" i="34"/>
  <c r="A2083" i="34"/>
  <c r="A2079" i="34"/>
  <c r="A2075" i="34"/>
  <c r="A2071" i="34"/>
  <c r="A2352" i="34"/>
  <c r="A2348" i="34"/>
  <c r="A2344" i="34"/>
  <c r="A2340" i="34"/>
  <c r="A2336" i="34"/>
  <c r="A2332" i="34"/>
  <c r="A2328" i="34"/>
  <c r="A2324" i="34"/>
  <c r="A2241" i="34"/>
  <c r="A2237" i="34"/>
  <c r="A2233" i="34"/>
  <c r="A2229" i="34"/>
  <c r="A2225" i="34"/>
  <c r="A2221" i="34"/>
  <c r="A2217" i="34"/>
  <c r="A2127" i="34"/>
  <c r="A2123" i="34"/>
  <c r="A2119" i="34"/>
  <c r="A2115" i="34"/>
  <c r="A2067" i="34"/>
  <c r="A2063" i="34"/>
  <c r="A2059" i="34"/>
  <c r="A2055" i="34"/>
  <c r="A2232" i="34"/>
  <c r="A2357" i="34"/>
  <c r="A2353" i="34"/>
  <c r="A2267" i="34"/>
  <c r="A2263" i="34"/>
  <c r="A2259" i="34"/>
  <c r="A2255" i="34"/>
  <c r="A2251" i="34"/>
  <c r="A2247" i="34"/>
  <c r="A2148" i="34"/>
  <c r="A2144" i="34"/>
  <c r="A2140" i="34"/>
  <c r="A2136" i="34"/>
  <c r="A2132" i="34"/>
  <c r="A2082" i="34"/>
  <c r="A2078" i="34"/>
  <c r="A2074" i="34"/>
  <c r="A2070" i="34"/>
  <c r="A2351" i="34"/>
  <c r="A2347" i="34"/>
  <c r="A2343" i="34"/>
  <c r="A2339" i="34"/>
  <c r="A2335" i="34"/>
  <c r="A2331" i="34"/>
  <c r="A2327" i="34"/>
  <c r="A2323" i="34"/>
  <c r="A2240" i="34"/>
  <c r="A2236" i="34"/>
  <c r="A2228" i="34"/>
  <c r="A2224" i="34"/>
  <c r="A2220" i="34"/>
  <c r="A2130" i="34"/>
  <c r="A2126" i="34"/>
  <c r="A2122" i="34"/>
  <c r="A2118" i="34"/>
  <c r="A2114" i="34"/>
  <c r="A2066" i="34"/>
  <c r="A2062" i="34"/>
  <c r="A2058" i="34"/>
  <c r="A2054" i="34"/>
  <c r="A2053" i="34"/>
  <c r="A2356" i="34"/>
  <c r="A2270" i="34"/>
  <c r="A2266" i="34"/>
  <c r="A2262" i="34"/>
  <c r="A2258" i="34"/>
  <c r="A2254" i="34"/>
  <c r="A2250" i="34"/>
  <c r="A2246" i="34"/>
  <c r="A2147" i="34"/>
  <c r="A2143" i="34"/>
  <c r="A2139" i="34"/>
  <c r="A2135" i="34"/>
  <c r="A2131" i="34"/>
  <c r="A2081" i="34"/>
  <c r="A2077" i="34"/>
  <c r="A2073" i="34"/>
  <c r="A2069" i="34"/>
  <c r="A2350" i="34"/>
  <c r="A2346" i="34"/>
  <c r="A2342" i="34"/>
  <c r="A2338" i="34"/>
  <c r="A2334" i="34"/>
  <c r="A2330" i="34"/>
  <c r="A2326" i="34"/>
  <c r="A2243" i="34"/>
  <c r="A2239" i="34"/>
  <c r="A2235" i="34"/>
  <c r="A2231" i="34"/>
  <c r="A2227" i="34"/>
  <c r="A2223" i="34"/>
  <c r="A2219" i="34"/>
  <c r="A2129" i="34"/>
  <c r="A2125" i="34"/>
  <c r="A2121" i="34"/>
  <c r="A2117" i="34"/>
  <c r="A2113" i="34"/>
  <c r="A2065" i="34"/>
  <c r="A2061" i="34"/>
  <c r="A2057" i="34"/>
  <c r="B1959" i="34" l="1"/>
  <c r="B1958" i="34"/>
  <c r="B1957" i="34"/>
  <c r="B1936" i="34"/>
  <c r="B1961" i="34"/>
  <c r="B1960" i="34"/>
  <c r="B1962" i="34"/>
  <c r="B1931" i="34"/>
  <c r="B1930" i="34"/>
  <c r="B1929" i="34"/>
  <c r="B1928" i="34"/>
  <c r="B1933" i="34"/>
  <c r="B1932" i="34"/>
  <c r="B1934" i="34"/>
  <c r="B1894" i="34"/>
  <c r="B1893" i="34"/>
  <c r="B1892" i="34"/>
  <c r="B1926" i="34"/>
  <c r="B1895" i="34"/>
  <c r="B1994" i="34"/>
  <c r="Q1929" i="34" l="1"/>
  <c r="R1929" i="34"/>
  <c r="V1929" i="34"/>
  <c r="AA1929" i="34"/>
  <c r="P1929" i="34"/>
  <c r="X1929" i="34"/>
  <c r="AA1958" i="34"/>
  <c r="P1958" i="34"/>
  <c r="X1958" i="34"/>
  <c r="Q1958" i="34"/>
  <c r="R1958" i="34"/>
  <c r="V1958" i="34"/>
  <c r="AA1932" i="34"/>
  <c r="P1932" i="34"/>
  <c r="X1932" i="34"/>
  <c r="Q1932" i="34"/>
  <c r="R1932" i="34"/>
  <c r="V1932" i="34"/>
  <c r="Q1961" i="34"/>
  <c r="R1961" i="34"/>
  <c r="V1961" i="34"/>
  <c r="AA1961" i="34"/>
  <c r="P1961" i="34"/>
  <c r="X1961" i="34"/>
  <c r="AA1994" i="34"/>
  <c r="P1994" i="34"/>
  <c r="X1994" i="34"/>
  <c r="Q1994" i="34"/>
  <c r="R1994" i="34"/>
  <c r="V1994" i="34"/>
  <c r="Q1893" i="34"/>
  <c r="R1893" i="34"/>
  <c r="V1893" i="34"/>
  <c r="AA1893" i="34"/>
  <c r="P1893" i="34"/>
  <c r="X1893" i="34"/>
  <c r="Q1933" i="34"/>
  <c r="R1933" i="34"/>
  <c r="V1933" i="34"/>
  <c r="AA1933" i="34"/>
  <c r="P1933" i="34"/>
  <c r="X1933" i="34"/>
  <c r="Q1931" i="34"/>
  <c r="R1931" i="34"/>
  <c r="V1931" i="34"/>
  <c r="AA1931" i="34"/>
  <c r="P1931" i="34"/>
  <c r="X1931" i="34"/>
  <c r="AA1936" i="34"/>
  <c r="P1936" i="34"/>
  <c r="X1936" i="34"/>
  <c r="Q1936" i="34"/>
  <c r="R1936" i="34"/>
  <c r="V1936" i="34"/>
  <c r="AA1926" i="34"/>
  <c r="P1926" i="34"/>
  <c r="X1926" i="34"/>
  <c r="Q1926" i="34"/>
  <c r="R1926" i="34"/>
  <c r="V1926" i="34"/>
  <c r="AA1960" i="34"/>
  <c r="P1960" i="34"/>
  <c r="X1960" i="34"/>
  <c r="Q1960" i="34"/>
  <c r="R1960" i="34"/>
  <c r="V1960" i="34"/>
  <c r="AA1892" i="34"/>
  <c r="P1892" i="34"/>
  <c r="X1892" i="34"/>
  <c r="Q1892" i="34"/>
  <c r="R1892" i="34"/>
  <c r="V1892" i="34"/>
  <c r="AA1930" i="34"/>
  <c r="P1930" i="34"/>
  <c r="X1930" i="34"/>
  <c r="Q1930" i="34"/>
  <c r="R1930" i="34"/>
  <c r="V1930" i="34"/>
  <c r="Q1959" i="34"/>
  <c r="R1959" i="34"/>
  <c r="V1959" i="34"/>
  <c r="AA1959" i="34"/>
  <c r="P1959" i="34"/>
  <c r="X1959" i="34"/>
  <c r="Q1895" i="34"/>
  <c r="R1895" i="34"/>
  <c r="V1895" i="34"/>
  <c r="AA1895" i="34"/>
  <c r="P1895" i="34"/>
  <c r="X1895" i="34"/>
  <c r="AA1894" i="34"/>
  <c r="P1894" i="34"/>
  <c r="X1894" i="34"/>
  <c r="Q1894" i="34"/>
  <c r="R1894" i="34"/>
  <c r="V1894" i="34"/>
  <c r="AA1928" i="34"/>
  <c r="P1928" i="34"/>
  <c r="X1928" i="34"/>
  <c r="Q1928" i="34"/>
  <c r="R1928" i="34"/>
  <c r="V1928" i="34"/>
  <c r="AA1962" i="34"/>
  <c r="P1962" i="34"/>
  <c r="X1962" i="34"/>
  <c r="Q1962" i="34"/>
  <c r="R1962" i="34"/>
  <c r="V1962" i="34"/>
  <c r="Q1957" i="34"/>
  <c r="R1957" i="34"/>
  <c r="V1957" i="34"/>
  <c r="AA1957" i="34"/>
  <c r="P1957" i="34"/>
  <c r="X1957" i="34"/>
  <c r="AA1934" i="34"/>
  <c r="P1934" i="34"/>
  <c r="X1934" i="34"/>
  <c r="Q1934" i="34"/>
  <c r="R1934" i="34"/>
  <c r="V1934" i="34"/>
  <c r="A1894" i="34"/>
  <c r="A1926" i="34"/>
  <c r="A1934" i="34"/>
  <c r="A1958" i="34"/>
  <c r="A1892" i="34"/>
  <c r="A1932" i="34"/>
  <c r="A1930" i="34"/>
  <c r="A1959" i="34"/>
  <c r="A1893" i="34"/>
  <c r="A1933" i="34"/>
  <c r="A1931" i="34"/>
  <c r="A1936" i="34"/>
  <c r="A1895" i="34"/>
  <c r="A1928" i="34"/>
  <c r="A1962" i="34"/>
  <c r="A1957" i="34"/>
  <c r="A1960" i="34"/>
  <c r="A1994" i="34"/>
  <c r="A1929" i="34"/>
  <c r="A1961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18" i="34"/>
  <c r="B1717" i="34"/>
  <c r="B1716" i="34"/>
  <c r="B1715" i="34"/>
  <c r="B1714" i="34"/>
  <c r="B1713" i="34"/>
  <c r="B1712" i="34"/>
  <c r="B1711" i="34"/>
  <c r="B1693" i="34"/>
  <c r="B1692" i="34"/>
  <c r="B1691" i="34"/>
  <c r="B1690" i="34"/>
  <c r="B1689" i="34"/>
  <c r="B1688" i="34"/>
  <c r="B1687" i="34"/>
  <c r="B1686" i="34"/>
  <c r="B1664" i="34"/>
  <c r="B1663" i="34"/>
  <c r="B1662" i="34"/>
  <c r="B1661" i="34"/>
  <c r="B1660" i="34"/>
  <c r="B1659" i="34"/>
  <c r="B1658" i="34"/>
  <c r="B1657" i="34"/>
  <c r="B1656" i="34"/>
  <c r="B1324" i="34"/>
  <c r="B1323" i="34"/>
  <c r="B1311" i="34"/>
  <c r="B1310" i="34"/>
  <c r="B1309" i="34"/>
  <c r="B1308" i="34"/>
  <c r="B1307" i="34"/>
  <c r="B1306" i="34"/>
  <c r="B1305" i="34"/>
  <c r="B1304" i="34"/>
  <c r="B1283" i="34"/>
  <c r="B1282" i="34"/>
  <c r="B1281" i="34"/>
  <c r="B1280" i="34"/>
  <c r="B1279" i="34"/>
  <c r="B1278" i="34"/>
  <c r="B1277" i="34"/>
  <c r="B1274" i="34"/>
  <c r="B1249" i="34"/>
  <c r="B1248" i="34"/>
  <c r="B1247" i="34"/>
  <c r="B1246" i="34"/>
  <c r="B1245" i="34"/>
  <c r="B1244" i="34"/>
  <c r="B1243" i="34"/>
  <c r="B1242" i="34"/>
  <c r="B1241" i="34"/>
  <c r="B1238" i="34"/>
  <c r="B1237" i="34"/>
  <c r="B1236" i="34"/>
  <c r="B929" i="34"/>
  <c r="B928" i="34"/>
  <c r="B921" i="34"/>
  <c r="B920" i="34"/>
  <c r="B1007" i="34"/>
  <c r="B1006" i="34"/>
  <c r="B1005" i="34"/>
  <c r="B1004" i="34"/>
  <c r="B1003" i="34"/>
  <c r="B1002" i="34"/>
  <c r="B1001" i="34"/>
  <c r="B1000" i="34"/>
  <c r="B934" i="34"/>
  <c r="B933" i="34"/>
  <c r="B932" i="34"/>
  <c r="B931" i="34"/>
  <c r="B930" i="34"/>
  <c r="B1034" i="34"/>
  <c r="B1200" i="34"/>
  <c r="B1199" i="34"/>
  <c r="B1205" i="34"/>
  <c r="B1203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13" i="34"/>
  <c r="B1776" i="34"/>
  <c r="B1897" i="34"/>
  <c r="B1896" i="34"/>
  <c r="B1822" i="34"/>
  <c r="B1821" i="34"/>
  <c r="B1820" i="34"/>
  <c r="B1819" i="34"/>
  <c r="B1818" i="34"/>
  <c r="B1817" i="34"/>
  <c r="B1816" i="34"/>
  <c r="B1815" i="34"/>
  <c r="B1845" i="34"/>
  <c r="B1844" i="34"/>
  <c r="B1843" i="34"/>
  <c r="B1842" i="34"/>
  <c r="B1841" i="34"/>
  <c r="B1840" i="34"/>
  <c r="B1839" i="34"/>
  <c r="B1838" i="34"/>
  <c r="B1837" i="34"/>
  <c r="B1836" i="34"/>
  <c r="B1812" i="34"/>
  <c r="B1811" i="34"/>
  <c r="B1810" i="34"/>
  <c r="B1809" i="34"/>
  <c r="B1808" i="34"/>
  <c r="B1807" i="34"/>
  <c r="B1806" i="34"/>
  <c r="B1805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804" i="34"/>
  <c r="B1803" i="34"/>
  <c r="B1775" i="34"/>
  <c r="B1774" i="34"/>
  <c r="B1786" i="34"/>
  <c r="B1785" i="34"/>
  <c r="B1784" i="34"/>
  <c r="B1770" i="34"/>
  <c r="B1769" i="34"/>
  <c r="B1984" i="34"/>
  <c r="B1983" i="34"/>
  <c r="B1982" i="34"/>
  <c r="B1965" i="34"/>
  <c r="B1964" i="34"/>
  <c r="B1963" i="34"/>
  <c r="B1935" i="34"/>
  <c r="B1927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998" i="34"/>
  <c r="B1997" i="34"/>
  <c r="B1996" i="34"/>
  <c r="B1992" i="34"/>
  <c r="B1991" i="34"/>
  <c r="B1990" i="34"/>
  <c r="B1989" i="34"/>
  <c r="B1880" i="34"/>
  <c r="B1879" i="34"/>
  <c r="B1878" i="34"/>
  <c r="B1877" i="34"/>
  <c r="B1876" i="34"/>
  <c r="B1874" i="34"/>
  <c r="B1872" i="34"/>
  <c r="B1871" i="34"/>
  <c r="B1870" i="34"/>
  <c r="B1802" i="34"/>
  <c r="B1782" i="34"/>
  <c r="B1781" i="34"/>
  <c r="B1780" i="34"/>
  <c r="B1779" i="34"/>
  <c r="B1778" i="34"/>
  <c r="B1773" i="34"/>
  <c r="B1772" i="34"/>
  <c r="B1771" i="34"/>
  <c r="B1995" i="34"/>
  <c r="B1993" i="34"/>
  <c r="B1766" i="34"/>
  <c r="B1765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179" i="34"/>
  <c r="B2151" i="34"/>
  <c r="B2150" i="34"/>
  <c r="B2149" i="34"/>
  <c r="B2035" i="34"/>
  <c r="B2034" i="34"/>
  <c r="B2015" i="34"/>
  <c r="B2014" i="34"/>
  <c r="B2000" i="34"/>
  <c r="B1988" i="34"/>
  <c r="B1987" i="34"/>
  <c r="B1981" i="34"/>
  <c r="B1980" i="34"/>
  <c r="B1979" i="34"/>
  <c r="B1978" i="34"/>
  <c r="B1977" i="34"/>
  <c r="B1976" i="34"/>
  <c r="B1975" i="34"/>
  <c r="B1974" i="34"/>
  <c r="B1956" i="34"/>
  <c r="B1955" i="34"/>
  <c r="B1954" i="34"/>
  <c r="B1953" i="34"/>
  <c r="B1952" i="34"/>
  <c r="B1951" i="34"/>
  <c r="B1950" i="34"/>
  <c r="B1949" i="34"/>
  <c r="B1948" i="34"/>
  <c r="B1947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14" i="34"/>
  <c r="B1777" i="34"/>
  <c r="B1986" i="34"/>
  <c r="B1985" i="34"/>
  <c r="B1973" i="34"/>
  <c r="B1972" i="34"/>
  <c r="B1971" i="34"/>
  <c r="B1970" i="34"/>
  <c r="B1969" i="34"/>
  <c r="B1968" i="34"/>
  <c r="B1967" i="34"/>
  <c r="B1966" i="34"/>
  <c r="B1946" i="34"/>
  <c r="B1945" i="34"/>
  <c r="B1944" i="34"/>
  <c r="B1943" i="34"/>
  <c r="B1942" i="34"/>
  <c r="B1941" i="34"/>
  <c r="B1940" i="34"/>
  <c r="B1939" i="34"/>
  <c r="B1938" i="34"/>
  <c r="B1937" i="34"/>
  <c r="B1911" i="34"/>
  <c r="B1910" i="34"/>
  <c r="B190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093" i="34"/>
  <c r="B2092" i="34"/>
  <c r="B2091" i="34"/>
  <c r="B2090" i="34"/>
  <c r="B2089" i="34"/>
  <c r="B2088" i="34"/>
  <c r="B2087" i="34"/>
  <c r="B2086" i="34"/>
  <c r="B2085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1" i="34"/>
  <c r="B2010" i="34"/>
  <c r="B2009" i="34"/>
  <c r="B2008" i="34"/>
  <c r="B2007" i="34"/>
  <c r="B2006" i="34"/>
  <c r="B2005" i="34"/>
  <c r="B2002" i="34"/>
  <c r="B2001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12" i="34"/>
  <c r="B2111" i="34"/>
  <c r="B2110" i="34"/>
  <c r="B2109" i="34"/>
  <c r="B2108" i="34"/>
  <c r="B2107" i="34"/>
  <c r="B2106" i="34"/>
  <c r="AA2108" i="34" l="1"/>
  <c r="P2108" i="34"/>
  <c r="X2108" i="34"/>
  <c r="Q2108" i="34"/>
  <c r="R2108" i="34"/>
  <c r="V2108" i="34"/>
  <c r="Q2191" i="34"/>
  <c r="R2191" i="34"/>
  <c r="V2191" i="34"/>
  <c r="AA2191" i="34"/>
  <c r="P2191" i="34"/>
  <c r="X2191" i="34"/>
  <c r="Q2195" i="34"/>
  <c r="R2195" i="34"/>
  <c r="V2195" i="34"/>
  <c r="AA2195" i="34"/>
  <c r="P2195" i="34"/>
  <c r="X2195" i="34"/>
  <c r="AA2110" i="34"/>
  <c r="P2110" i="34"/>
  <c r="X2110" i="34"/>
  <c r="Q2110" i="34"/>
  <c r="R2110" i="34"/>
  <c r="V2110" i="34"/>
  <c r="Q2189" i="34"/>
  <c r="R2189" i="34"/>
  <c r="V2189" i="34"/>
  <c r="AA2189" i="34"/>
  <c r="P2189" i="34"/>
  <c r="X2189" i="34"/>
  <c r="Q2197" i="34"/>
  <c r="R2197" i="34"/>
  <c r="V2197" i="34"/>
  <c r="AA2197" i="34"/>
  <c r="P2197" i="34"/>
  <c r="X2197" i="34"/>
  <c r="Q2201" i="34"/>
  <c r="R2201" i="34"/>
  <c r="V2201" i="34"/>
  <c r="AA2201" i="34"/>
  <c r="P2201" i="34"/>
  <c r="X2201" i="34"/>
  <c r="Q2293" i="34"/>
  <c r="R2293" i="34"/>
  <c r="V2293" i="34"/>
  <c r="AA2293" i="34"/>
  <c r="P2293" i="34"/>
  <c r="X2293" i="34"/>
  <c r="Q2301" i="34"/>
  <c r="R2301" i="34"/>
  <c r="V2301" i="34"/>
  <c r="AA2301" i="34"/>
  <c r="P2301" i="34"/>
  <c r="X2301" i="34"/>
  <c r="Q2309" i="34"/>
  <c r="R2309" i="34"/>
  <c r="V2309" i="34"/>
  <c r="AA2309" i="34"/>
  <c r="P2309" i="34"/>
  <c r="X2309" i="34"/>
  <c r="Q2317" i="34"/>
  <c r="R2317" i="34"/>
  <c r="V2317" i="34"/>
  <c r="P2317" i="34"/>
  <c r="X2317" i="34"/>
  <c r="AA2317" i="34"/>
  <c r="Q2009" i="34"/>
  <c r="R2009" i="34"/>
  <c r="V2009" i="34"/>
  <c r="AA2009" i="34"/>
  <c r="P2009" i="34"/>
  <c r="X2009" i="34"/>
  <c r="Q2107" i="34"/>
  <c r="R2107" i="34"/>
  <c r="V2107" i="34"/>
  <c r="AA2107" i="34"/>
  <c r="P2107" i="34"/>
  <c r="X2107" i="34"/>
  <c r="Q2111" i="34"/>
  <c r="R2111" i="34"/>
  <c r="V2111" i="34"/>
  <c r="AA2111" i="34"/>
  <c r="P2111" i="34"/>
  <c r="X2111" i="34"/>
  <c r="AA2182" i="34"/>
  <c r="P2182" i="34"/>
  <c r="X2182" i="34"/>
  <c r="Q2182" i="34"/>
  <c r="R2182" i="34"/>
  <c r="V2182" i="34"/>
  <c r="AA2186" i="34"/>
  <c r="P2186" i="34"/>
  <c r="X2186" i="34"/>
  <c r="Q2186" i="34"/>
  <c r="R2186" i="34"/>
  <c r="V2186" i="34"/>
  <c r="AA2190" i="34"/>
  <c r="P2190" i="34"/>
  <c r="X2190" i="34"/>
  <c r="Q2190" i="34"/>
  <c r="R2190" i="34"/>
  <c r="V2190" i="34"/>
  <c r="AA2194" i="34"/>
  <c r="P2194" i="34"/>
  <c r="X2194" i="34"/>
  <c r="Q2194" i="34"/>
  <c r="R2194" i="34"/>
  <c r="V2194" i="34"/>
  <c r="AA2198" i="34"/>
  <c r="P2198" i="34"/>
  <c r="X2198" i="34"/>
  <c r="Q2198" i="34"/>
  <c r="R2198" i="34"/>
  <c r="V2198" i="34"/>
  <c r="AA2202" i="34"/>
  <c r="P2202" i="34"/>
  <c r="X2202" i="34"/>
  <c r="Q2202" i="34"/>
  <c r="R2202" i="34"/>
  <c r="V2202" i="34"/>
  <c r="AA2206" i="34"/>
  <c r="P2206" i="34"/>
  <c r="X2206" i="34"/>
  <c r="Q2206" i="34"/>
  <c r="R2206" i="34"/>
  <c r="V2206" i="34"/>
  <c r="AA2294" i="34"/>
  <c r="P2294" i="34"/>
  <c r="X2294" i="34"/>
  <c r="Q2294" i="34"/>
  <c r="R2294" i="34"/>
  <c r="V2294" i="34"/>
  <c r="AA2298" i="34"/>
  <c r="P2298" i="34"/>
  <c r="X2298" i="34"/>
  <c r="Q2298" i="34"/>
  <c r="R2298" i="34"/>
  <c r="V2298" i="34"/>
  <c r="AA2302" i="34"/>
  <c r="P2302" i="34"/>
  <c r="X2302" i="34"/>
  <c r="Q2302" i="34"/>
  <c r="R2302" i="34"/>
  <c r="V2302" i="34"/>
  <c r="AA2306" i="34"/>
  <c r="P2306" i="34"/>
  <c r="X2306" i="34"/>
  <c r="Q2306" i="34"/>
  <c r="R2306" i="34"/>
  <c r="V2306" i="34"/>
  <c r="AA2310" i="34"/>
  <c r="P2310" i="34"/>
  <c r="X2310" i="34"/>
  <c r="Q2310" i="34"/>
  <c r="R2310" i="34"/>
  <c r="V2310" i="34"/>
  <c r="AA2314" i="34"/>
  <c r="P2314" i="34"/>
  <c r="X2314" i="34"/>
  <c r="R2314" i="34"/>
  <c r="V2314" i="34"/>
  <c r="Q2314" i="34"/>
  <c r="P2318" i="34"/>
  <c r="X2318" i="34"/>
  <c r="R2318" i="34"/>
  <c r="V2318" i="34"/>
  <c r="AA2318" i="34"/>
  <c r="Q2318" i="34"/>
  <c r="P2322" i="34"/>
  <c r="X2322" i="34"/>
  <c r="R2322" i="34"/>
  <c r="V2322" i="34"/>
  <c r="AA2322" i="34"/>
  <c r="Q2322" i="34"/>
  <c r="AA2006" i="34"/>
  <c r="P2006" i="34"/>
  <c r="X2006" i="34"/>
  <c r="Q2006" i="34"/>
  <c r="R2006" i="34"/>
  <c r="V2006" i="34"/>
  <c r="AA2010" i="34"/>
  <c r="P2010" i="34"/>
  <c r="X2010" i="34"/>
  <c r="Q2010" i="34"/>
  <c r="R2010" i="34"/>
  <c r="V2010" i="34"/>
  <c r="AA2018" i="34"/>
  <c r="P2018" i="34"/>
  <c r="X2018" i="34"/>
  <c r="Q2018" i="34"/>
  <c r="R2018" i="34"/>
  <c r="V2018" i="34"/>
  <c r="AA2022" i="34"/>
  <c r="P2022" i="34"/>
  <c r="X2022" i="34"/>
  <c r="Q2022" i="34"/>
  <c r="R2022" i="34"/>
  <c r="V2022" i="34"/>
  <c r="AA2026" i="34"/>
  <c r="P2026" i="34"/>
  <c r="X2026" i="34"/>
  <c r="Q2026" i="34"/>
  <c r="R2026" i="34"/>
  <c r="V2026" i="34"/>
  <c r="AA2030" i="34"/>
  <c r="P2030" i="34"/>
  <c r="X2030" i="34"/>
  <c r="Q2030" i="34"/>
  <c r="R2030" i="34"/>
  <c r="V2030" i="34"/>
  <c r="Q2085" i="34"/>
  <c r="R2085" i="34"/>
  <c r="V2085" i="34"/>
  <c r="AA2085" i="34"/>
  <c r="P2085" i="34"/>
  <c r="X2085" i="34"/>
  <c r="Q2089" i="34"/>
  <c r="R2089" i="34"/>
  <c r="V2089" i="34"/>
  <c r="AA2089" i="34"/>
  <c r="P2089" i="34"/>
  <c r="X2089" i="34"/>
  <c r="Q2093" i="34"/>
  <c r="R2093" i="34"/>
  <c r="V2093" i="34"/>
  <c r="AA2093" i="34"/>
  <c r="P2093" i="34"/>
  <c r="X2093" i="34"/>
  <c r="Q2155" i="34"/>
  <c r="R2155" i="34"/>
  <c r="V2155" i="34"/>
  <c r="AA2155" i="34"/>
  <c r="P2155" i="34"/>
  <c r="X2155" i="34"/>
  <c r="Q2159" i="34"/>
  <c r="R2159" i="34"/>
  <c r="V2159" i="34"/>
  <c r="AA2159" i="34"/>
  <c r="P2159" i="34"/>
  <c r="X2159" i="34"/>
  <c r="Q2163" i="34"/>
  <c r="R2163" i="34"/>
  <c r="V2163" i="34"/>
  <c r="AA2163" i="34"/>
  <c r="P2163" i="34"/>
  <c r="X2163" i="34"/>
  <c r="Q2167" i="34"/>
  <c r="R2167" i="34"/>
  <c r="V2167" i="34"/>
  <c r="AA2167" i="34"/>
  <c r="P2167" i="34"/>
  <c r="X2167" i="34"/>
  <c r="Q2171" i="34"/>
  <c r="R2171" i="34"/>
  <c r="V2171" i="34"/>
  <c r="AA2171" i="34"/>
  <c r="P2171" i="34"/>
  <c r="X2171" i="34"/>
  <c r="Q2175" i="34"/>
  <c r="R2175" i="34"/>
  <c r="V2175" i="34"/>
  <c r="AA2175" i="34"/>
  <c r="P2175" i="34"/>
  <c r="X2175" i="34"/>
  <c r="Q1909" i="34"/>
  <c r="R1909" i="34"/>
  <c r="V1909" i="34"/>
  <c r="AA1909" i="34"/>
  <c r="P1909" i="34"/>
  <c r="X1909" i="34"/>
  <c r="AA1938" i="34"/>
  <c r="P1938" i="34"/>
  <c r="X1938" i="34"/>
  <c r="Q1938" i="34"/>
  <c r="R1938" i="34"/>
  <c r="V1938" i="34"/>
  <c r="AA1942" i="34"/>
  <c r="P1942" i="34"/>
  <c r="X1942" i="34"/>
  <c r="Q1942" i="34"/>
  <c r="R1942" i="34"/>
  <c r="V1942" i="34"/>
  <c r="AA1946" i="34"/>
  <c r="P1946" i="34"/>
  <c r="X1946" i="34"/>
  <c r="Q1946" i="34"/>
  <c r="R1946" i="34"/>
  <c r="V1946" i="34"/>
  <c r="Q1969" i="34"/>
  <c r="R1969" i="34"/>
  <c r="V1969" i="34"/>
  <c r="AA1969" i="34"/>
  <c r="P1969" i="34"/>
  <c r="X1969" i="34"/>
  <c r="Q1973" i="34"/>
  <c r="R1973" i="34"/>
  <c r="V1973" i="34"/>
  <c r="AA1973" i="34"/>
  <c r="P1973" i="34"/>
  <c r="X1973" i="34"/>
  <c r="Q1814" i="34"/>
  <c r="R1814" i="34"/>
  <c r="V1814" i="34"/>
  <c r="AA1814" i="34"/>
  <c r="P1814" i="34"/>
  <c r="X1814" i="34"/>
  <c r="P1861" i="34"/>
  <c r="X1861" i="34"/>
  <c r="R1861" i="34"/>
  <c r="V1861" i="34"/>
  <c r="AA1861" i="34"/>
  <c r="Q1861" i="34"/>
  <c r="P1865" i="34"/>
  <c r="X1865" i="34"/>
  <c r="R1865" i="34"/>
  <c r="V1865" i="34"/>
  <c r="AA1865" i="34"/>
  <c r="Q1865" i="34"/>
  <c r="P1869" i="34"/>
  <c r="X1869" i="34"/>
  <c r="R1869" i="34"/>
  <c r="V1869" i="34"/>
  <c r="AA1869" i="34"/>
  <c r="Q1869" i="34"/>
  <c r="Q1915" i="34"/>
  <c r="R1915" i="34"/>
  <c r="V1915" i="34"/>
  <c r="AA1915" i="34"/>
  <c r="P1915" i="34"/>
  <c r="X1915" i="34"/>
  <c r="Q1919" i="34"/>
  <c r="R1919" i="34"/>
  <c r="V1919" i="34"/>
  <c r="AA1919" i="34"/>
  <c r="P1919" i="34"/>
  <c r="X1919" i="34"/>
  <c r="Q1923" i="34"/>
  <c r="R1923" i="34"/>
  <c r="V1923" i="34"/>
  <c r="AA1923" i="34"/>
  <c r="P1923" i="34"/>
  <c r="X1923" i="34"/>
  <c r="AA1948" i="34"/>
  <c r="P1948" i="34"/>
  <c r="X1948" i="34"/>
  <c r="Q1948" i="34"/>
  <c r="R1948" i="34"/>
  <c r="V1948" i="34"/>
  <c r="AA1952" i="34"/>
  <c r="P1952" i="34"/>
  <c r="X1952" i="34"/>
  <c r="Q1952" i="34"/>
  <c r="R1952" i="34"/>
  <c r="V1952" i="34"/>
  <c r="AA1956" i="34"/>
  <c r="P1956" i="34"/>
  <c r="X1956" i="34"/>
  <c r="Q1956" i="34"/>
  <c r="R1956" i="34"/>
  <c r="V1956" i="34"/>
  <c r="Q1977" i="34"/>
  <c r="R1977" i="34"/>
  <c r="V1977" i="34"/>
  <c r="AA1977" i="34"/>
  <c r="P1977" i="34"/>
  <c r="X1977" i="34"/>
  <c r="Q1981" i="34"/>
  <c r="R1981" i="34"/>
  <c r="V1981" i="34"/>
  <c r="AA1981" i="34"/>
  <c r="P1981" i="34"/>
  <c r="X1981" i="34"/>
  <c r="AA2014" i="34"/>
  <c r="P2014" i="34"/>
  <c r="X2014" i="34"/>
  <c r="Q2014" i="34"/>
  <c r="R2014" i="34"/>
  <c r="V2014" i="34"/>
  <c r="Q2149" i="34"/>
  <c r="R2149" i="34"/>
  <c r="V2149" i="34"/>
  <c r="AA2149" i="34"/>
  <c r="P2149" i="34"/>
  <c r="X2149" i="34"/>
  <c r="AA2036" i="34"/>
  <c r="P2036" i="34"/>
  <c r="X2036" i="34"/>
  <c r="Q2036" i="34"/>
  <c r="R2036" i="34"/>
  <c r="V2036" i="34"/>
  <c r="AA2040" i="34"/>
  <c r="P2040" i="34"/>
  <c r="X2040" i="34"/>
  <c r="Q2040" i="34"/>
  <c r="R2040" i="34"/>
  <c r="V2040" i="34"/>
  <c r="AA2044" i="34"/>
  <c r="P2044" i="34"/>
  <c r="X2044" i="34"/>
  <c r="Q2044" i="34"/>
  <c r="R2044" i="34"/>
  <c r="V2044" i="34"/>
  <c r="AA2048" i="34"/>
  <c r="P2048" i="34"/>
  <c r="X2048" i="34"/>
  <c r="Q2048" i="34"/>
  <c r="R2048" i="34"/>
  <c r="V2048" i="34"/>
  <c r="AA2052" i="34"/>
  <c r="P2052" i="34"/>
  <c r="X2052" i="34"/>
  <c r="Q2052" i="34"/>
  <c r="R2052" i="34"/>
  <c r="V2052" i="34"/>
  <c r="Q2097" i="34"/>
  <c r="R2097" i="34"/>
  <c r="V2097" i="34"/>
  <c r="AA2097" i="34"/>
  <c r="P2097" i="34"/>
  <c r="X2097" i="34"/>
  <c r="Q2101" i="34"/>
  <c r="R2101" i="34"/>
  <c r="V2101" i="34"/>
  <c r="AA2101" i="34"/>
  <c r="P2101" i="34"/>
  <c r="X2101" i="34"/>
  <c r="Q2105" i="34"/>
  <c r="R2105" i="34"/>
  <c r="V2105" i="34"/>
  <c r="AA2105" i="34"/>
  <c r="P2105" i="34"/>
  <c r="X2105" i="34"/>
  <c r="Q1995" i="34"/>
  <c r="R1995" i="34"/>
  <c r="V1995" i="34"/>
  <c r="AA1995" i="34"/>
  <c r="P1995" i="34"/>
  <c r="X1995" i="34"/>
  <c r="Q1778" i="34"/>
  <c r="R1778" i="34"/>
  <c r="V1778" i="34"/>
  <c r="AA1778" i="34"/>
  <c r="P1778" i="34"/>
  <c r="X1778" i="34"/>
  <c r="Q1782" i="34"/>
  <c r="R1782" i="34"/>
  <c r="V1782" i="34"/>
  <c r="AA1782" i="34"/>
  <c r="P1782" i="34"/>
  <c r="X1782" i="34"/>
  <c r="R1872" i="34"/>
  <c r="V1872" i="34"/>
  <c r="P1872" i="34"/>
  <c r="X1872" i="34"/>
  <c r="AA1872" i="34"/>
  <c r="Q1872" i="34"/>
  <c r="AA1878" i="34"/>
  <c r="P1878" i="34"/>
  <c r="X1878" i="34"/>
  <c r="Q1878" i="34"/>
  <c r="R1878" i="34"/>
  <c r="V1878" i="34"/>
  <c r="AA1990" i="34"/>
  <c r="P1990" i="34"/>
  <c r="X1990" i="34"/>
  <c r="Q1990" i="34"/>
  <c r="R1990" i="34"/>
  <c r="V1990" i="34"/>
  <c r="Q1997" i="34"/>
  <c r="R1997" i="34"/>
  <c r="V1997" i="34"/>
  <c r="AA1997" i="34"/>
  <c r="P1997" i="34"/>
  <c r="X1997" i="34"/>
  <c r="AA1825" i="34"/>
  <c r="P1825" i="34"/>
  <c r="X1825" i="34"/>
  <c r="Q1825" i="34"/>
  <c r="R1825" i="34"/>
  <c r="V1825" i="34"/>
  <c r="AA1829" i="34"/>
  <c r="P1829" i="34"/>
  <c r="X1829" i="34"/>
  <c r="Q1829" i="34"/>
  <c r="R1829" i="34"/>
  <c r="V1829" i="34"/>
  <c r="AA1833" i="34"/>
  <c r="P1833" i="34"/>
  <c r="X1833" i="34"/>
  <c r="Q1833" i="34"/>
  <c r="R1833" i="34"/>
  <c r="V1833" i="34"/>
  <c r="AA1882" i="34"/>
  <c r="P1882" i="34"/>
  <c r="X1882" i="34"/>
  <c r="Q1882" i="34"/>
  <c r="R1882" i="34"/>
  <c r="V1882" i="34"/>
  <c r="AA1886" i="34"/>
  <c r="P1886" i="34"/>
  <c r="X1886" i="34"/>
  <c r="Q1886" i="34"/>
  <c r="R1886" i="34"/>
  <c r="V1886" i="34"/>
  <c r="AA1890" i="34"/>
  <c r="P1890" i="34"/>
  <c r="X1890" i="34"/>
  <c r="Q1890" i="34"/>
  <c r="R1890" i="34"/>
  <c r="V1890" i="34"/>
  <c r="Q1963" i="34"/>
  <c r="R1963" i="34"/>
  <c r="V1963" i="34"/>
  <c r="AA1963" i="34"/>
  <c r="P1963" i="34"/>
  <c r="X1963" i="34"/>
  <c r="Q1983" i="34"/>
  <c r="R1983" i="34"/>
  <c r="V1983" i="34"/>
  <c r="AA1983" i="34"/>
  <c r="P1983" i="34"/>
  <c r="X1983" i="34"/>
  <c r="Q1784" i="34"/>
  <c r="R1784" i="34"/>
  <c r="V1784" i="34"/>
  <c r="AA1784" i="34"/>
  <c r="P1784" i="34"/>
  <c r="X1784" i="34"/>
  <c r="AA1775" i="34"/>
  <c r="P1775" i="34"/>
  <c r="X1775" i="34"/>
  <c r="Q1775" i="34"/>
  <c r="R1775" i="34"/>
  <c r="V1775" i="34"/>
  <c r="Q1788" i="34"/>
  <c r="R1788" i="34"/>
  <c r="V1788" i="34"/>
  <c r="AA1788" i="34"/>
  <c r="P1788" i="34"/>
  <c r="X1788" i="34"/>
  <c r="Q1792" i="34"/>
  <c r="R1792" i="34"/>
  <c r="V1792" i="34"/>
  <c r="AA1792" i="34"/>
  <c r="P1792" i="34"/>
  <c r="X1792" i="34"/>
  <c r="Q1796" i="34"/>
  <c r="R1796" i="34"/>
  <c r="V1796" i="34"/>
  <c r="AA1796" i="34"/>
  <c r="P1796" i="34"/>
  <c r="X1796" i="34"/>
  <c r="Q1800" i="34"/>
  <c r="R1800" i="34"/>
  <c r="V1800" i="34"/>
  <c r="AA1800" i="34"/>
  <c r="P1800" i="34"/>
  <c r="X1800" i="34"/>
  <c r="AA1807" i="34"/>
  <c r="P1807" i="34"/>
  <c r="X1807" i="34"/>
  <c r="Q1807" i="34"/>
  <c r="R1807" i="34"/>
  <c r="V1807" i="34"/>
  <c r="AA1811" i="34"/>
  <c r="P1811" i="34"/>
  <c r="X1811" i="34"/>
  <c r="Q1811" i="34"/>
  <c r="R1811" i="34"/>
  <c r="V1811" i="34"/>
  <c r="Q1838" i="34"/>
  <c r="R1838" i="34"/>
  <c r="V1838" i="34"/>
  <c r="AA1838" i="34"/>
  <c r="P1838" i="34"/>
  <c r="X1838" i="34"/>
  <c r="Q1842" i="34"/>
  <c r="R1842" i="34"/>
  <c r="V1842" i="34"/>
  <c r="P1842" i="34"/>
  <c r="X1842" i="34"/>
  <c r="AA1842" i="34"/>
  <c r="AA1815" i="34"/>
  <c r="P1815" i="34"/>
  <c r="X1815" i="34"/>
  <c r="Q1815" i="34"/>
  <c r="R1815" i="34"/>
  <c r="V1815" i="34"/>
  <c r="AA1819" i="34"/>
  <c r="P1819" i="34"/>
  <c r="X1819" i="34"/>
  <c r="Q1819" i="34"/>
  <c r="R1819" i="34"/>
  <c r="V1819" i="34"/>
  <c r="AA1896" i="34"/>
  <c r="P1896" i="34"/>
  <c r="X1896" i="34"/>
  <c r="Q1896" i="34"/>
  <c r="R1896" i="34"/>
  <c r="V1896" i="34"/>
  <c r="Q1846" i="34"/>
  <c r="R1846" i="34"/>
  <c r="V1846" i="34"/>
  <c r="P1846" i="34"/>
  <c r="X1846" i="34"/>
  <c r="AA1846" i="34"/>
  <c r="Q1850" i="34"/>
  <c r="R1850" i="34"/>
  <c r="V1850" i="34"/>
  <c r="P1850" i="34"/>
  <c r="X1850" i="34"/>
  <c r="AA1850" i="34"/>
  <c r="Q1854" i="34"/>
  <c r="R1854" i="34"/>
  <c r="V1854" i="34"/>
  <c r="P1854" i="34"/>
  <c r="X1854" i="34"/>
  <c r="AA1854" i="34"/>
  <c r="AA1898" i="34"/>
  <c r="P1898" i="34"/>
  <c r="X1898" i="34"/>
  <c r="Q1898" i="34"/>
  <c r="R1898" i="34"/>
  <c r="V1898" i="34"/>
  <c r="AA1902" i="34"/>
  <c r="P1902" i="34"/>
  <c r="X1902" i="34"/>
  <c r="Q1902" i="34"/>
  <c r="R1902" i="34"/>
  <c r="V1902" i="34"/>
  <c r="AA1906" i="34"/>
  <c r="P1906" i="34"/>
  <c r="X1906" i="34"/>
  <c r="Q1906" i="34"/>
  <c r="R1906" i="34"/>
  <c r="V1906" i="34"/>
  <c r="AA1205" i="34"/>
  <c r="P1205" i="34"/>
  <c r="X1205" i="34"/>
  <c r="Q1205" i="34"/>
  <c r="R1205" i="34"/>
  <c r="V1205" i="34"/>
  <c r="Q930" i="34"/>
  <c r="R930" i="34"/>
  <c r="V930" i="34"/>
  <c r="AA930" i="34"/>
  <c r="P930" i="34"/>
  <c r="X930" i="34"/>
  <c r="Q934" i="34"/>
  <c r="R934" i="34"/>
  <c r="V934" i="34"/>
  <c r="AA934" i="34"/>
  <c r="P934" i="34"/>
  <c r="X934" i="34"/>
  <c r="AA1003" i="34"/>
  <c r="P1003" i="34"/>
  <c r="X1003" i="34"/>
  <c r="Q1003" i="34"/>
  <c r="R1003" i="34"/>
  <c r="V1003" i="34"/>
  <c r="AA1007" i="34"/>
  <c r="P1007" i="34"/>
  <c r="X1007" i="34"/>
  <c r="Q1007" i="34"/>
  <c r="R1007" i="34"/>
  <c r="V1007" i="34"/>
  <c r="AA929" i="34"/>
  <c r="P929" i="34"/>
  <c r="X929" i="34"/>
  <c r="Q929" i="34"/>
  <c r="R929" i="34"/>
  <c r="V929" i="34"/>
  <c r="S1241" i="34"/>
  <c r="AA1241" i="34"/>
  <c r="P1241" i="34"/>
  <c r="T1241" i="34"/>
  <c r="X1241" i="34"/>
  <c r="Q1241" i="34"/>
  <c r="U1241" i="34"/>
  <c r="R1241" i="34"/>
  <c r="V1241" i="34"/>
  <c r="S1245" i="34"/>
  <c r="AA1245" i="34"/>
  <c r="P1245" i="34"/>
  <c r="T1245" i="34"/>
  <c r="X1245" i="34"/>
  <c r="Q1245" i="34"/>
  <c r="R1245" i="34"/>
  <c r="V1245" i="34"/>
  <c r="U1245" i="34"/>
  <c r="P1249" i="34"/>
  <c r="T1249" i="34"/>
  <c r="X1249" i="34"/>
  <c r="R1249" i="34"/>
  <c r="V1249" i="34"/>
  <c r="S1249" i="34"/>
  <c r="U1249" i="34"/>
  <c r="AA1249" i="34"/>
  <c r="Q1249" i="34"/>
  <c r="S1279" i="34"/>
  <c r="AA1279" i="34"/>
  <c r="P1279" i="34"/>
  <c r="T1279" i="34"/>
  <c r="X1279" i="34"/>
  <c r="Q1279" i="34"/>
  <c r="U1279" i="34"/>
  <c r="R1279" i="34"/>
  <c r="V1279" i="34"/>
  <c r="S1283" i="34"/>
  <c r="AA1283" i="34"/>
  <c r="P1283" i="34"/>
  <c r="T1283" i="34"/>
  <c r="X1283" i="34"/>
  <c r="Q1283" i="34"/>
  <c r="U1283" i="34"/>
  <c r="R1283" i="34"/>
  <c r="V1283" i="34"/>
  <c r="S1307" i="34"/>
  <c r="AA1307" i="34"/>
  <c r="P1307" i="34"/>
  <c r="T1307" i="34"/>
  <c r="X1307" i="34"/>
  <c r="Q1307" i="34"/>
  <c r="U1307" i="34"/>
  <c r="R1307" i="34"/>
  <c r="V1307" i="34"/>
  <c r="S1311" i="34"/>
  <c r="AA1311" i="34"/>
  <c r="P1311" i="34"/>
  <c r="T1311" i="34"/>
  <c r="X1311" i="34"/>
  <c r="Q1311" i="34"/>
  <c r="U1311" i="34"/>
  <c r="R1311" i="34"/>
  <c r="V1311" i="34"/>
  <c r="Q1656" i="34"/>
  <c r="R1656" i="34"/>
  <c r="V1656" i="34"/>
  <c r="AA1656" i="34"/>
  <c r="P1656" i="34"/>
  <c r="X1656" i="34"/>
  <c r="Q1660" i="34"/>
  <c r="R1660" i="34"/>
  <c r="V1660" i="34"/>
  <c r="AA1660" i="34"/>
  <c r="P1660" i="34"/>
  <c r="X1660" i="34"/>
  <c r="Q1664" i="34"/>
  <c r="R1664" i="34"/>
  <c r="V1664" i="34"/>
  <c r="AA1664" i="34"/>
  <c r="P1664" i="34"/>
  <c r="X1664" i="34"/>
  <c r="AA1689" i="34"/>
  <c r="P1689" i="34"/>
  <c r="X1689" i="34"/>
  <c r="Q1689" i="34"/>
  <c r="R1689" i="34"/>
  <c r="V1689" i="34"/>
  <c r="AA1693" i="34"/>
  <c r="P1693" i="34"/>
  <c r="X1693" i="34"/>
  <c r="Q1693" i="34"/>
  <c r="R1693" i="34"/>
  <c r="V1693" i="34"/>
  <c r="Q1714" i="34"/>
  <c r="R1714" i="34"/>
  <c r="V1714" i="34"/>
  <c r="AA1714" i="34"/>
  <c r="P1714" i="34"/>
  <c r="X1714" i="34"/>
  <c r="Q1718" i="34"/>
  <c r="R1718" i="34"/>
  <c r="V1718" i="34"/>
  <c r="AA1718" i="34"/>
  <c r="P1718" i="34"/>
  <c r="X1718" i="34"/>
  <c r="Q1748" i="34"/>
  <c r="R1748" i="34"/>
  <c r="V1748" i="34"/>
  <c r="AA1748" i="34"/>
  <c r="P1748" i="34"/>
  <c r="X1748" i="34"/>
  <c r="Q1752" i="34"/>
  <c r="R1752" i="34"/>
  <c r="V1752" i="34"/>
  <c r="AA1752" i="34"/>
  <c r="P1752" i="34"/>
  <c r="X1752" i="34"/>
  <c r="AA2112" i="34"/>
  <c r="P2112" i="34"/>
  <c r="X2112" i="34"/>
  <c r="Q2112" i="34"/>
  <c r="R2112" i="34"/>
  <c r="V2112" i="34"/>
  <c r="Q2199" i="34"/>
  <c r="R2199" i="34"/>
  <c r="V2199" i="34"/>
  <c r="AA2199" i="34"/>
  <c r="P2199" i="34"/>
  <c r="X2199" i="34"/>
  <c r="Q2207" i="34"/>
  <c r="R2207" i="34"/>
  <c r="V2207" i="34"/>
  <c r="AA2207" i="34"/>
  <c r="P2207" i="34"/>
  <c r="X2207" i="34"/>
  <c r="Q2303" i="34"/>
  <c r="R2303" i="34"/>
  <c r="V2303" i="34"/>
  <c r="AA2303" i="34"/>
  <c r="P2303" i="34"/>
  <c r="X2303" i="34"/>
  <c r="Q2311" i="34"/>
  <c r="R2311" i="34"/>
  <c r="V2311" i="34"/>
  <c r="AA2311" i="34"/>
  <c r="P2311" i="34"/>
  <c r="X2311" i="34"/>
  <c r="Q2315" i="34"/>
  <c r="R2315" i="34"/>
  <c r="V2315" i="34"/>
  <c r="P2315" i="34"/>
  <c r="X2315" i="34"/>
  <c r="AA2315" i="34"/>
  <c r="Q2001" i="34"/>
  <c r="R2001" i="34"/>
  <c r="V2001" i="34"/>
  <c r="AA2001" i="34"/>
  <c r="P2001" i="34"/>
  <c r="X2001" i="34"/>
  <c r="Q2007" i="34"/>
  <c r="R2007" i="34"/>
  <c r="V2007" i="34"/>
  <c r="AA2007" i="34"/>
  <c r="P2007" i="34"/>
  <c r="X2007" i="34"/>
  <c r="Q2011" i="34"/>
  <c r="R2011" i="34"/>
  <c r="V2011" i="34"/>
  <c r="AA2011" i="34"/>
  <c r="P2011" i="34"/>
  <c r="X2011" i="34"/>
  <c r="Q2019" i="34"/>
  <c r="R2019" i="34"/>
  <c r="V2019" i="34"/>
  <c r="AA2019" i="34"/>
  <c r="P2019" i="34"/>
  <c r="X2019" i="34"/>
  <c r="Q2023" i="34"/>
  <c r="R2023" i="34"/>
  <c r="V2023" i="34"/>
  <c r="AA2023" i="34"/>
  <c r="P2023" i="34"/>
  <c r="X2023" i="34"/>
  <c r="Q2027" i="34"/>
  <c r="R2027" i="34"/>
  <c r="V2027" i="34"/>
  <c r="AA2027" i="34"/>
  <c r="P2027" i="34"/>
  <c r="X2027" i="34"/>
  <c r="Q2031" i="34"/>
  <c r="R2031" i="34"/>
  <c r="V2031" i="34"/>
  <c r="AA2031" i="34"/>
  <c r="P2031" i="34"/>
  <c r="X2031" i="34"/>
  <c r="AA2086" i="34"/>
  <c r="P2086" i="34"/>
  <c r="X2086" i="34"/>
  <c r="Q2086" i="34"/>
  <c r="R2086" i="34"/>
  <c r="V2086" i="34"/>
  <c r="AA2090" i="34"/>
  <c r="P2090" i="34"/>
  <c r="X2090" i="34"/>
  <c r="Q2090" i="34"/>
  <c r="R2090" i="34"/>
  <c r="V2090" i="34"/>
  <c r="AA2152" i="34"/>
  <c r="P2152" i="34"/>
  <c r="X2152" i="34"/>
  <c r="Q2152" i="34"/>
  <c r="R2152" i="34"/>
  <c r="V2152" i="34"/>
  <c r="AA2156" i="34"/>
  <c r="P2156" i="34"/>
  <c r="X2156" i="34"/>
  <c r="Q2156" i="34"/>
  <c r="R2156" i="34"/>
  <c r="V2156" i="34"/>
  <c r="AA2160" i="34"/>
  <c r="P2160" i="34"/>
  <c r="X2160" i="34"/>
  <c r="Q2160" i="34"/>
  <c r="R2160" i="34"/>
  <c r="V2160" i="34"/>
  <c r="AA2164" i="34"/>
  <c r="P2164" i="34"/>
  <c r="X2164" i="34"/>
  <c r="Q2164" i="34"/>
  <c r="R2164" i="34"/>
  <c r="V2164" i="34"/>
  <c r="AA2168" i="34"/>
  <c r="P2168" i="34"/>
  <c r="X2168" i="34"/>
  <c r="Q2168" i="34"/>
  <c r="R2168" i="34"/>
  <c r="V2168" i="34"/>
  <c r="AA2172" i="34"/>
  <c r="P2172" i="34"/>
  <c r="X2172" i="34"/>
  <c r="Q2172" i="34"/>
  <c r="R2172" i="34"/>
  <c r="V2172" i="34"/>
  <c r="AA2176" i="34"/>
  <c r="P2176" i="34"/>
  <c r="X2176" i="34"/>
  <c r="Q2176" i="34"/>
  <c r="R2176" i="34"/>
  <c r="V2176" i="34"/>
  <c r="AA1910" i="34"/>
  <c r="P1910" i="34"/>
  <c r="X1910" i="34"/>
  <c r="Q1910" i="34"/>
  <c r="R1910" i="34"/>
  <c r="V1910" i="34"/>
  <c r="Q1939" i="34"/>
  <c r="R1939" i="34"/>
  <c r="V1939" i="34"/>
  <c r="AA1939" i="34"/>
  <c r="P1939" i="34"/>
  <c r="X1939" i="34"/>
  <c r="Q1943" i="34"/>
  <c r="R1943" i="34"/>
  <c r="V1943" i="34"/>
  <c r="AA1943" i="34"/>
  <c r="P1943" i="34"/>
  <c r="X1943" i="34"/>
  <c r="AA1966" i="34"/>
  <c r="P1966" i="34"/>
  <c r="X1966" i="34"/>
  <c r="Q1966" i="34"/>
  <c r="R1966" i="34"/>
  <c r="V1966" i="34"/>
  <c r="AA1970" i="34"/>
  <c r="P1970" i="34"/>
  <c r="X1970" i="34"/>
  <c r="Q1970" i="34"/>
  <c r="R1970" i="34"/>
  <c r="V1970" i="34"/>
  <c r="Q1985" i="34"/>
  <c r="R1985" i="34"/>
  <c r="V1985" i="34"/>
  <c r="AA1985" i="34"/>
  <c r="P1985" i="34"/>
  <c r="X1985" i="34"/>
  <c r="R1858" i="34"/>
  <c r="V1858" i="34"/>
  <c r="P1858" i="34"/>
  <c r="X1858" i="34"/>
  <c r="AA1858" i="34"/>
  <c r="Q1858" i="34"/>
  <c r="R1862" i="34"/>
  <c r="V1862" i="34"/>
  <c r="P1862" i="34"/>
  <c r="X1862" i="34"/>
  <c r="AA1862" i="34"/>
  <c r="Q1862" i="34"/>
  <c r="R1866" i="34"/>
  <c r="V1866" i="34"/>
  <c r="P1866" i="34"/>
  <c r="X1866" i="34"/>
  <c r="AA1866" i="34"/>
  <c r="Q1866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AA1920" i="34"/>
  <c r="P1920" i="34"/>
  <c r="X1920" i="34"/>
  <c r="Q1920" i="34"/>
  <c r="R1920" i="34"/>
  <c r="V1920" i="34"/>
  <c r="AA1924" i="34"/>
  <c r="P1924" i="34"/>
  <c r="X1924" i="34"/>
  <c r="Q1924" i="34"/>
  <c r="R1924" i="34"/>
  <c r="V1924" i="34"/>
  <c r="Q1949" i="34"/>
  <c r="R1949" i="34"/>
  <c r="V1949" i="34"/>
  <c r="AA1949" i="34"/>
  <c r="P1949" i="34"/>
  <c r="X1949" i="34"/>
  <c r="Q1953" i="34"/>
  <c r="R1953" i="34"/>
  <c r="V1953" i="34"/>
  <c r="AA1953" i="34"/>
  <c r="P1953" i="34"/>
  <c r="X1953" i="34"/>
  <c r="AA1974" i="34"/>
  <c r="P1974" i="34"/>
  <c r="X1974" i="34"/>
  <c r="Q1974" i="34"/>
  <c r="R1974" i="34"/>
  <c r="V1974" i="34"/>
  <c r="AA1978" i="34"/>
  <c r="P1978" i="34"/>
  <c r="X1978" i="34"/>
  <c r="Q1978" i="34"/>
  <c r="R1978" i="34"/>
  <c r="V1978" i="34"/>
  <c r="Q1987" i="34"/>
  <c r="R1987" i="34"/>
  <c r="V1987" i="34"/>
  <c r="AA1987" i="34"/>
  <c r="P1987" i="34"/>
  <c r="X1987" i="34"/>
  <c r="Q2015" i="34"/>
  <c r="R2015" i="34"/>
  <c r="V2015" i="34"/>
  <c r="AA2015" i="34"/>
  <c r="P2015" i="34"/>
  <c r="X2015" i="34"/>
  <c r="AA2150" i="34"/>
  <c r="P2150" i="34"/>
  <c r="X2150" i="34"/>
  <c r="Q2150" i="34"/>
  <c r="R2150" i="34"/>
  <c r="V2150" i="34"/>
  <c r="Q2037" i="34"/>
  <c r="R2037" i="34"/>
  <c r="V2037" i="34"/>
  <c r="AA2037" i="34"/>
  <c r="P2037" i="34"/>
  <c r="X2037" i="34"/>
  <c r="Q2041" i="34"/>
  <c r="R2041" i="34"/>
  <c r="V2041" i="34"/>
  <c r="AA2041" i="34"/>
  <c r="P2041" i="34"/>
  <c r="X2041" i="34"/>
  <c r="Q2045" i="34"/>
  <c r="R2045" i="34"/>
  <c r="V2045" i="34"/>
  <c r="AA2045" i="34"/>
  <c r="P2045" i="34"/>
  <c r="X2045" i="34"/>
  <c r="Q2049" i="34"/>
  <c r="R2049" i="34"/>
  <c r="V2049" i="34"/>
  <c r="AA2049" i="34"/>
  <c r="P2049" i="34"/>
  <c r="X2049" i="34"/>
  <c r="AA2094" i="34"/>
  <c r="P2094" i="34"/>
  <c r="X2094" i="34"/>
  <c r="Q2094" i="34"/>
  <c r="R2094" i="34"/>
  <c r="V2094" i="34"/>
  <c r="AA2098" i="34"/>
  <c r="P2098" i="34"/>
  <c r="X2098" i="34"/>
  <c r="Q2098" i="34"/>
  <c r="R2098" i="34"/>
  <c r="V2098" i="34"/>
  <c r="AA2102" i="34"/>
  <c r="P2102" i="34"/>
  <c r="X2102" i="34"/>
  <c r="Q2102" i="34"/>
  <c r="R2102" i="34"/>
  <c r="V2102" i="34"/>
  <c r="AA1765" i="34"/>
  <c r="P1765" i="34"/>
  <c r="X1765" i="34"/>
  <c r="Q1765" i="34"/>
  <c r="R1765" i="34"/>
  <c r="V1765" i="34"/>
  <c r="AA1771" i="34"/>
  <c r="P1771" i="34"/>
  <c r="X1771" i="34"/>
  <c r="Q1771" i="34"/>
  <c r="R1771" i="34"/>
  <c r="V1771" i="34"/>
  <c r="AA1779" i="34"/>
  <c r="P1779" i="34"/>
  <c r="X1779" i="34"/>
  <c r="Q1779" i="34"/>
  <c r="R1779" i="34"/>
  <c r="V1779" i="34"/>
  <c r="Q1802" i="34"/>
  <c r="R1802" i="34"/>
  <c r="V1802" i="34"/>
  <c r="AA1802" i="34"/>
  <c r="P1802" i="34"/>
  <c r="X1802" i="34"/>
  <c r="R1874" i="34"/>
  <c r="V1874" i="34"/>
  <c r="P1874" i="34"/>
  <c r="X1874" i="34"/>
  <c r="AA1874" i="34"/>
  <c r="Q1874" i="34"/>
  <c r="Q1879" i="34"/>
  <c r="R1879" i="34"/>
  <c r="V1879" i="34"/>
  <c r="AA1879" i="34"/>
  <c r="P1879" i="34"/>
  <c r="X1879" i="34"/>
  <c r="Q1991" i="34"/>
  <c r="R1991" i="34"/>
  <c r="V1991" i="34"/>
  <c r="AA1991" i="34"/>
  <c r="P1991" i="34"/>
  <c r="X1991" i="34"/>
  <c r="AA1998" i="34"/>
  <c r="P1998" i="34"/>
  <c r="X1998" i="34"/>
  <c r="Q1998" i="34"/>
  <c r="R1998" i="34"/>
  <c r="V1998" i="34"/>
  <c r="Q1826" i="34"/>
  <c r="R1826" i="34"/>
  <c r="V1826" i="34"/>
  <c r="AA1826" i="34"/>
  <c r="P1826" i="34"/>
  <c r="X1826" i="34"/>
  <c r="Q1830" i="34"/>
  <c r="R1830" i="34"/>
  <c r="V1830" i="34"/>
  <c r="AA1830" i="34"/>
  <c r="P1830" i="34"/>
  <c r="X1830" i="34"/>
  <c r="Q1834" i="34"/>
  <c r="R1834" i="34"/>
  <c r="V1834" i="34"/>
  <c r="AA1834" i="34"/>
  <c r="P1834" i="34"/>
  <c r="X1834" i="34"/>
  <c r="Q1883" i="34"/>
  <c r="R1883" i="34"/>
  <c r="V1883" i="34"/>
  <c r="AA1883" i="34"/>
  <c r="P1883" i="34"/>
  <c r="X1883" i="34"/>
  <c r="Q1887" i="34"/>
  <c r="R1887" i="34"/>
  <c r="V1887" i="34"/>
  <c r="AA1887" i="34"/>
  <c r="P1887" i="34"/>
  <c r="X1887" i="34"/>
  <c r="Q1891" i="34"/>
  <c r="R1891" i="34"/>
  <c r="V1891" i="34"/>
  <c r="AA1891" i="34"/>
  <c r="P1891" i="34"/>
  <c r="X1891" i="34"/>
  <c r="AA1964" i="34"/>
  <c r="P1964" i="34"/>
  <c r="X1964" i="34"/>
  <c r="Q1964" i="34"/>
  <c r="R1964" i="34"/>
  <c r="V1964" i="34"/>
  <c r="AA1984" i="34"/>
  <c r="P1984" i="34"/>
  <c r="X1984" i="34"/>
  <c r="Q1984" i="34"/>
  <c r="R1984" i="34"/>
  <c r="V1984" i="34"/>
  <c r="AA1785" i="34"/>
  <c r="P1785" i="34"/>
  <c r="X1785" i="34"/>
  <c r="Q1785" i="34"/>
  <c r="R1785" i="34"/>
  <c r="V1785" i="34"/>
  <c r="AA1803" i="34"/>
  <c r="P1803" i="34"/>
  <c r="X1803" i="34"/>
  <c r="Q1803" i="34"/>
  <c r="R1803" i="34"/>
  <c r="V1803" i="34"/>
  <c r="AA1789" i="34"/>
  <c r="P1789" i="34"/>
  <c r="X1789" i="34"/>
  <c r="Q1789" i="34"/>
  <c r="R1789" i="34"/>
  <c r="V1789" i="34"/>
  <c r="AA1793" i="34"/>
  <c r="P1793" i="34"/>
  <c r="X1793" i="34"/>
  <c r="Q1793" i="34"/>
  <c r="R1793" i="34"/>
  <c r="V1793" i="34"/>
  <c r="AA1797" i="34"/>
  <c r="P1797" i="34"/>
  <c r="X1797" i="34"/>
  <c r="Q1797" i="34"/>
  <c r="R1797" i="34"/>
  <c r="V1797" i="34"/>
  <c r="AA1801" i="34"/>
  <c r="P1801" i="34"/>
  <c r="X1801" i="34"/>
  <c r="Q1801" i="34"/>
  <c r="R1801" i="34"/>
  <c r="V1801" i="34"/>
  <c r="Q1808" i="34"/>
  <c r="R1808" i="34"/>
  <c r="V1808" i="34"/>
  <c r="AA1808" i="34"/>
  <c r="P1808" i="34"/>
  <c r="X1808" i="34"/>
  <c r="Q1812" i="34"/>
  <c r="R1812" i="34"/>
  <c r="V1812" i="34"/>
  <c r="AA1812" i="34"/>
  <c r="P1812" i="34"/>
  <c r="X1812" i="34"/>
  <c r="AA1839" i="34"/>
  <c r="P1839" i="34"/>
  <c r="X1839" i="34"/>
  <c r="Q1839" i="34"/>
  <c r="R1839" i="34"/>
  <c r="V1839" i="34"/>
  <c r="AA1843" i="34"/>
  <c r="P1843" i="34"/>
  <c r="X1843" i="34"/>
  <c r="R1843" i="34"/>
  <c r="V1843" i="34"/>
  <c r="Q1843" i="34"/>
  <c r="Q1816" i="34"/>
  <c r="R1816" i="34"/>
  <c r="V1816" i="34"/>
  <c r="AA1816" i="34"/>
  <c r="P1816" i="34"/>
  <c r="X1816" i="34"/>
  <c r="Q1820" i="34"/>
  <c r="R1820" i="34"/>
  <c r="V1820" i="34"/>
  <c r="AA1820" i="34"/>
  <c r="P1820" i="34"/>
  <c r="X1820" i="34"/>
  <c r="Q1897" i="34"/>
  <c r="R1897" i="34"/>
  <c r="V1897" i="34"/>
  <c r="AA1897" i="34"/>
  <c r="P1897" i="34"/>
  <c r="X1897" i="34"/>
  <c r="AA1847" i="34"/>
  <c r="P1847" i="34"/>
  <c r="X1847" i="34"/>
  <c r="R1847" i="34"/>
  <c r="V1847" i="34"/>
  <c r="Q1847" i="34"/>
  <c r="AA1851" i="34"/>
  <c r="P1851" i="34"/>
  <c r="X1851" i="34"/>
  <c r="R1851" i="34"/>
  <c r="V1851" i="34"/>
  <c r="Q1851" i="34"/>
  <c r="P1855" i="34"/>
  <c r="X1855" i="34"/>
  <c r="R1855" i="34"/>
  <c r="V1855" i="34"/>
  <c r="AA1855" i="34"/>
  <c r="Q1855" i="34"/>
  <c r="Q1899" i="34"/>
  <c r="R1899" i="34"/>
  <c r="V1899" i="34"/>
  <c r="AA1899" i="34"/>
  <c r="P1899" i="34"/>
  <c r="X1899" i="34"/>
  <c r="Q1903" i="34"/>
  <c r="R1903" i="34"/>
  <c r="V1903" i="34"/>
  <c r="AA1903" i="34"/>
  <c r="P1903" i="34"/>
  <c r="X1903" i="34"/>
  <c r="Q1907" i="34"/>
  <c r="R1907" i="34"/>
  <c r="V1907" i="34"/>
  <c r="AA1907" i="34"/>
  <c r="P1907" i="34"/>
  <c r="X1907" i="34"/>
  <c r="AA1199" i="34"/>
  <c r="P1199" i="34"/>
  <c r="X1199" i="34"/>
  <c r="Q1199" i="34"/>
  <c r="R1199" i="34"/>
  <c r="V1199" i="34"/>
  <c r="AA931" i="34"/>
  <c r="P931" i="34"/>
  <c r="X931" i="34"/>
  <c r="Q931" i="34"/>
  <c r="R931" i="34"/>
  <c r="V931" i="34"/>
  <c r="Q1000" i="34"/>
  <c r="R1000" i="34"/>
  <c r="V1000" i="34"/>
  <c r="AA1000" i="34"/>
  <c r="P1000" i="34"/>
  <c r="X1000" i="34"/>
  <c r="Q1004" i="34"/>
  <c r="R1004" i="34"/>
  <c r="V1004" i="34"/>
  <c r="AA1004" i="34"/>
  <c r="P1004" i="34"/>
  <c r="X1004" i="34"/>
  <c r="Q920" i="34"/>
  <c r="R920" i="34"/>
  <c r="V920" i="34"/>
  <c r="AA920" i="34"/>
  <c r="P920" i="34"/>
  <c r="X920" i="34"/>
  <c r="Q1236" i="34"/>
  <c r="R1236" i="34"/>
  <c r="V1236" i="34"/>
  <c r="AA1236" i="34"/>
  <c r="P1236" i="34"/>
  <c r="X1236" i="34"/>
  <c r="Q1242" i="34"/>
  <c r="U1242" i="34"/>
  <c r="R1242" i="34"/>
  <c r="V1242" i="34"/>
  <c r="S1242" i="34"/>
  <c r="AA1242" i="34"/>
  <c r="P1242" i="34"/>
  <c r="T1242" i="34"/>
  <c r="X1242" i="34"/>
  <c r="Q1246" i="34"/>
  <c r="U1246" i="34"/>
  <c r="R1246" i="34"/>
  <c r="V1246" i="34"/>
  <c r="P1246" i="34"/>
  <c r="T1246" i="34"/>
  <c r="X1246" i="34"/>
  <c r="S1246" i="34"/>
  <c r="AA1246" i="34"/>
  <c r="Q1274" i="34"/>
  <c r="U1274" i="34"/>
  <c r="R1274" i="34"/>
  <c r="V1274" i="34"/>
  <c r="S1274" i="34"/>
  <c r="AA1274" i="34"/>
  <c r="P1274" i="34"/>
  <c r="T1274" i="34"/>
  <c r="X1274" i="34"/>
  <c r="Q1280" i="34"/>
  <c r="U1280" i="34"/>
  <c r="R1280" i="34"/>
  <c r="V1280" i="34"/>
  <c r="S1280" i="34"/>
  <c r="AA1280" i="34"/>
  <c r="P1280" i="34"/>
  <c r="T1280" i="34"/>
  <c r="X1280" i="34"/>
  <c r="Q1304" i="34"/>
  <c r="U1304" i="34"/>
  <c r="R1304" i="34"/>
  <c r="V1304" i="34"/>
  <c r="S1304" i="34"/>
  <c r="AA1304" i="34"/>
  <c r="P1304" i="34"/>
  <c r="T1304" i="34"/>
  <c r="X1304" i="34"/>
  <c r="Q1308" i="34"/>
  <c r="U1308" i="34"/>
  <c r="R1308" i="34"/>
  <c r="V1308" i="34"/>
  <c r="S1308" i="34"/>
  <c r="AA1308" i="34"/>
  <c r="P1308" i="34"/>
  <c r="T1308" i="34"/>
  <c r="X1308" i="34"/>
  <c r="AA1323" i="34"/>
  <c r="P1323" i="34"/>
  <c r="X1323" i="34"/>
  <c r="Q1323" i="34"/>
  <c r="R1323" i="34"/>
  <c r="V1323" i="34"/>
  <c r="AA1657" i="34"/>
  <c r="P1657" i="34"/>
  <c r="X1657" i="34"/>
  <c r="Q1657" i="34"/>
  <c r="R1657" i="34"/>
  <c r="V1657" i="34"/>
  <c r="AA1661" i="34"/>
  <c r="P1661" i="34"/>
  <c r="X1661" i="34"/>
  <c r="Q1661" i="34"/>
  <c r="R1661" i="34"/>
  <c r="V1661" i="34"/>
  <c r="Q1686" i="34"/>
  <c r="R1686" i="34"/>
  <c r="V1686" i="34"/>
  <c r="AA1686" i="34"/>
  <c r="P1686" i="34"/>
  <c r="X1686" i="34"/>
  <c r="Q1690" i="34"/>
  <c r="R1690" i="34"/>
  <c r="V1690" i="34"/>
  <c r="AA1690" i="34"/>
  <c r="P1690" i="34"/>
  <c r="X1690" i="34"/>
  <c r="AA1711" i="34"/>
  <c r="P1711" i="34"/>
  <c r="X1711" i="34"/>
  <c r="Q1711" i="34"/>
  <c r="R1711" i="34"/>
  <c r="V1711" i="34"/>
  <c r="AA1715" i="34"/>
  <c r="P1715" i="34"/>
  <c r="X1715" i="34"/>
  <c r="Q1715" i="34"/>
  <c r="R1715" i="34"/>
  <c r="V1715" i="34"/>
  <c r="AA1745" i="34"/>
  <c r="P1745" i="34"/>
  <c r="X1745" i="34"/>
  <c r="Q1745" i="34"/>
  <c r="R1745" i="34"/>
  <c r="V1745" i="34"/>
  <c r="AA1749" i="34"/>
  <c r="P1749" i="34"/>
  <c r="X1749" i="34"/>
  <c r="Q1749" i="34"/>
  <c r="R1749" i="34"/>
  <c r="V1749" i="34"/>
  <c r="AA1753" i="34"/>
  <c r="P1753" i="34"/>
  <c r="X1753" i="34"/>
  <c r="Q1753" i="34"/>
  <c r="R1753" i="34"/>
  <c r="V1753" i="34"/>
  <c r="Q2187" i="34"/>
  <c r="R2187" i="34"/>
  <c r="V2187" i="34"/>
  <c r="AA2187" i="34"/>
  <c r="P2187" i="34"/>
  <c r="X2187" i="34"/>
  <c r="Q2203" i="34"/>
  <c r="R2203" i="34"/>
  <c r="V2203" i="34"/>
  <c r="AA2203" i="34"/>
  <c r="P2203" i="34"/>
  <c r="X2203" i="34"/>
  <c r="Q2295" i="34"/>
  <c r="R2295" i="34"/>
  <c r="V2295" i="34"/>
  <c r="AA2295" i="34"/>
  <c r="P2295" i="34"/>
  <c r="X2295" i="34"/>
  <c r="Q2299" i="34"/>
  <c r="R2299" i="34"/>
  <c r="V2299" i="34"/>
  <c r="AA2299" i="34"/>
  <c r="P2299" i="34"/>
  <c r="X2299" i="34"/>
  <c r="Q2307" i="34"/>
  <c r="R2307" i="34"/>
  <c r="V2307" i="34"/>
  <c r="AA2307" i="34"/>
  <c r="P2307" i="34"/>
  <c r="X2307" i="34"/>
  <c r="R2319" i="34"/>
  <c r="V2319" i="34"/>
  <c r="P2319" i="34"/>
  <c r="X2319" i="34"/>
  <c r="Q2319" i="34"/>
  <c r="AA2319" i="34"/>
  <c r="Q2109" i="34"/>
  <c r="R2109" i="34"/>
  <c r="V2109" i="34"/>
  <c r="AA2109" i="34"/>
  <c r="P2109" i="34"/>
  <c r="X2109" i="34"/>
  <c r="AA2180" i="34"/>
  <c r="P2180" i="34"/>
  <c r="X2180" i="34"/>
  <c r="Q2180" i="34"/>
  <c r="R2180" i="34"/>
  <c r="V2180" i="34"/>
  <c r="AA2184" i="34"/>
  <c r="P2184" i="34"/>
  <c r="X2184" i="34"/>
  <c r="Q2184" i="34"/>
  <c r="R2184" i="34"/>
  <c r="V2184" i="34"/>
  <c r="AA2188" i="34"/>
  <c r="P2188" i="34"/>
  <c r="X2188" i="34"/>
  <c r="Q2188" i="34"/>
  <c r="R2188" i="34"/>
  <c r="V2188" i="34"/>
  <c r="AA2192" i="34"/>
  <c r="P2192" i="34"/>
  <c r="X2192" i="34"/>
  <c r="Q2192" i="34"/>
  <c r="R2192" i="34"/>
  <c r="V2192" i="34"/>
  <c r="AA2196" i="34"/>
  <c r="P2196" i="34"/>
  <c r="X2196" i="34"/>
  <c r="Q2196" i="34"/>
  <c r="R2196" i="34"/>
  <c r="V2196" i="34"/>
  <c r="AA2200" i="34"/>
  <c r="P2200" i="34"/>
  <c r="X2200" i="34"/>
  <c r="Q2200" i="34"/>
  <c r="R2200" i="34"/>
  <c r="V2200" i="34"/>
  <c r="AA2204" i="34"/>
  <c r="P2204" i="34"/>
  <c r="X2204" i="34"/>
  <c r="Q2204" i="34"/>
  <c r="R2204" i="34"/>
  <c r="V2204" i="34"/>
  <c r="AA2292" i="34"/>
  <c r="P2292" i="34"/>
  <c r="X2292" i="34"/>
  <c r="Q2292" i="34"/>
  <c r="R2292" i="34"/>
  <c r="V2292" i="34"/>
  <c r="AA2296" i="34"/>
  <c r="P2296" i="34"/>
  <c r="X2296" i="34"/>
  <c r="Q2296" i="34"/>
  <c r="R2296" i="34"/>
  <c r="V2296" i="34"/>
  <c r="AA2300" i="34"/>
  <c r="P2300" i="34"/>
  <c r="X2300" i="34"/>
  <c r="Q2300" i="34"/>
  <c r="R2300" i="34"/>
  <c r="V2300" i="34"/>
  <c r="AA2304" i="34"/>
  <c r="P2304" i="34"/>
  <c r="X2304" i="34"/>
  <c r="Q2304" i="34"/>
  <c r="R2304" i="34"/>
  <c r="V2304" i="34"/>
  <c r="AA2308" i="34"/>
  <c r="P2308" i="34"/>
  <c r="X2308" i="34"/>
  <c r="Q2308" i="34"/>
  <c r="R2308" i="34"/>
  <c r="V2308" i="34"/>
  <c r="AA2312" i="34"/>
  <c r="P2312" i="34"/>
  <c r="X2312" i="34"/>
  <c r="Q2312" i="34"/>
  <c r="R2312" i="34"/>
  <c r="V2312" i="34"/>
  <c r="AA2316" i="34"/>
  <c r="P2316" i="34"/>
  <c r="X2316" i="34"/>
  <c r="R2316" i="34"/>
  <c r="V2316" i="34"/>
  <c r="Q2316" i="34"/>
  <c r="P2320" i="34"/>
  <c r="X2320" i="34"/>
  <c r="R2320" i="34"/>
  <c r="V2320" i="34"/>
  <c r="AA2320" i="34"/>
  <c r="Q2320" i="34"/>
  <c r="AA2002" i="34"/>
  <c r="P2002" i="34"/>
  <c r="X2002" i="34"/>
  <c r="Q2002" i="34"/>
  <c r="R2002" i="34"/>
  <c r="V2002" i="34"/>
  <c r="AA2008" i="34"/>
  <c r="P2008" i="34"/>
  <c r="X2008" i="34"/>
  <c r="Q2008" i="34"/>
  <c r="R2008" i="34"/>
  <c r="V2008" i="34"/>
  <c r="AA2016" i="34"/>
  <c r="P2016" i="34"/>
  <c r="X2016" i="34"/>
  <c r="Q2016" i="34"/>
  <c r="R2016" i="34"/>
  <c r="V2016" i="34"/>
  <c r="AA2020" i="34"/>
  <c r="P2020" i="34"/>
  <c r="X2020" i="34"/>
  <c r="Q2020" i="34"/>
  <c r="R2020" i="34"/>
  <c r="V2020" i="34"/>
  <c r="AA2024" i="34"/>
  <c r="P2024" i="34"/>
  <c r="X2024" i="34"/>
  <c r="Q2024" i="34"/>
  <c r="R2024" i="34"/>
  <c r="V2024" i="34"/>
  <c r="AA2028" i="34"/>
  <c r="P2028" i="34"/>
  <c r="X2028" i="34"/>
  <c r="Q2028" i="34"/>
  <c r="R2028" i="34"/>
  <c r="V2028" i="34"/>
  <c r="AA2032" i="34"/>
  <c r="P2032" i="34"/>
  <c r="X2032" i="34"/>
  <c r="Q2032" i="34"/>
  <c r="R2032" i="34"/>
  <c r="V2032" i="34"/>
  <c r="Q2087" i="34"/>
  <c r="R2087" i="34"/>
  <c r="V2087" i="34"/>
  <c r="AA2087" i="34"/>
  <c r="P2087" i="34"/>
  <c r="X2087" i="34"/>
  <c r="Q2091" i="34"/>
  <c r="R2091" i="34"/>
  <c r="V2091" i="34"/>
  <c r="AA2091" i="34"/>
  <c r="P2091" i="34"/>
  <c r="X2091" i="34"/>
  <c r="Q2153" i="34"/>
  <c r="R2153" i="34"/>
  <c r="V2153" i="34"/>
  <c r="AA2153" i="34"/>
  <c r="P2153" i="34"/>
  <c r="X2153" i="34"/>
  <c r="Q2157" i="34"/>
  <c r="R2157" i="34"/>
  <c r="V2157" i="34"/>
  <c r="AA2157" i="34"/>
  <c r="P2157" i="34"/>
  <c r="X2157" i="34"/>
  <c r="Q2161" i="34"/>
  <c r="R2161" i="34"/>
  <c r="V2161" i="34"/>
  <c r="AA2161" i="34"/>
  <c r="P2161" i="34"/>
  <c r="X2161" i="34"/>
  <c r="Q2165" i="34"/>
  <c r="R2165" i="34"/>
  <c r="V2165" i="34"/>
  <c r="AA2165" i="34"/>
  <c r="P2165" i="34"/>
  <c r="X2165" i="34"/>
  <c r="Q2169" i="34"/>
  <c r="R2169" i="34"/>
  <c r="V2169" i="34"/>
  <c r="AA2169" i="34"/>
  <c r="P2169" i="34"/>
  <c r="X2169" i="34"/>
  <c r="Q2173" i="34"/>
  <c r="R2173" i="34"/>
  <c r="V2173" i="34"/>
  <c r="AA2173" i="34"/>
  <c r="P2173" i="34"/>
  <c r="X2173" i="34"/>
  <c r="Q2177" i="34"/>
  <c r="R2177" i="34"/>
  <c r="V2177" i="34"/>
  <c r="AA2177" i="34"/>
  <c r="P2177" i="34"/>
  <c r="X2177" i="34"/>
  <c r="Q1911" i="34"/>
  <c r="R1911" i="34"/>
  <c r="V1911" i="34"/>
  <c r="AA1911" i="34"/>
  <c r="P1911" i="34"/>
  <c r="X1911" i="34"/>
  <c r="AA1940" i="34"/>
  <c r="P1940" i="34"/>
  <c r="X1940" i="34"/>
  <c r="Q1940" i="34"/>
  <c r="R1940" i="34"/>
  <c r="V1940" i="34"/>
  <c r="AA1944" i="34"/>
  <c r="P1944" i="34"/>
  <c r="X1944" i="34"/>
  <c r="Q1944" i="34"/>
  <c r="R1944" i="34"/>
  <c r="V1944" i="34"/>
  <c r="Q1967" i="34"/>
  <c r="R1967" i="34"/>
  <c r="V1967" i="34"/>
  <c r="AA1967" i="34"/>
  <c r="P1967" i="34"/>
  <c r="X1967" i="34"/>
  <c r="Q1971" i="34"/>
  <c r="R1971" i="34"/>
  <c r="V1971" i="34"/>
  <c r="AA1971" i="34"/>
  <c r="P1971" i="34"/>
  <c r="X1971" i="34"/>
  <c r="AA1986" i="34"/>
  <c r="P1986" i="34"/>
  <c r="X1986" i="34"/>
  <c r="Q1986" i="34"/>
  <c r="R1986" i="34"/>
  <c r="V1986" i="34"/>
  <c r="P1859" i="34"/>
  <c r="X1859" i="34"/>
  <c r="R1859" i="34"/>
  <c r="V1859" i="34"/>
  <c r="AA1859" i="34"/>
  <c r="Q1859" i="34"/>
  <c r="P1863" i="34"/>
  <c r="X1863" i="34"/>
  <c r="R1863" i="34"/>
  <c r="V1863" i="34"/>
  <c r="AA1863" i="34"/>
  <c r="Q1863" i="34"/>
  <c r="P1867" i="34"/>
  <c r="X1867" i="34"/>
  <c r="R1867" i="34"/>
  <c r="V1867" i="34"/>
  <c r="AA1867" i="34"/>
  <c r="Q1867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Q1921" i="34"/>
  <c r="R1921" i="34"/>
  <c r="V1921" i="34"/>
  <c r="AA1921" i="34"/>
  <c r="P1921" i="34"/>
  <c r="X1921" i="34"/>
  <c r="Q1925" i="34"/>
  <c r="R1925" i="34"/>
  <c r="V1925" i="34"/>
  <c r="AA1925" i="34"/>
  <c r="P1925" i="34"/>
  <c r="X1925" i="34"/>
  <c r="AA1950" i="34"/>
  <c r="P1950" i="34"/>
  <c r="X1950" i="34"/>
  <c r="Q1950" i="34"/>
  <c r="R1950" i="34"/>
  <c r="V1950" i="34"/>
  <c r="AA1954" i="34"/>
  <c r="P1954" i="34"/>
  <c r="X1954" i="34"/>
  <c r="Q1954" i="34"/>
  <c r="R1954" i="34"/>
  <c r="V1954" i="34"/>
  <c r="Q1975" i="34"/>
  <c r="R1975" i="34"/>
  <c r="V1975" i="34"/>
  <c r="AA1975" i="34"/>
  <c r="P1975" i="34"/>
  <c r="X1975" i="34"/>
  <c r="Q1979" i="34"/>
  <c r="R1979" i="34"/>
  <c r="V1979" i="34"/>
  <c r="AA1979" i="34"/>
  <c r="P1979" i="34"/>
  <c r="X1979" i="34"/>
  <c r="AA1988" i="34"/>
  <c r="P1988" i="34"/>
  <c r="X1988" i="34"/>
  <c r="Q1988" i="34"/>
  <c r="R1988" i="34"/>
  <c r="V1988" i="34"/>
  <c r="AA2034" i="34"/>
  <c r="P2034" i="34"/>
  <c r="X2034" i="34"/>
  <c r="Q2034" i="34"/>
  <c r="R2034" i="34"/>
  <c r="V2034" i="34"/>
  <c r="Q2151" i="34"/>
  <c r="R2151" i="34"/>
  <c r="V2151" i="34"/>
  <c r="AA2151" i="34"/>
  <c r="P2151" i="34"/>
  <c r="X2151" i="34"/>
  <c r="AA2038" i="34"/>
  <c r="P2038" i="34"/>
  <c r="X2038" i="34"/>
  <c r="Q2038" i="34"/>
  <c r="R2038" i="34"/>
  <c r="V2038" i="34"/>
  <c r="AA2042" i="34"/>
  <c r="P2042" i="34"/>
  <c r="X2042" i="34"/>
  <c r="Q2042" i="34"/>
  <c r="R2042" i="34"/>
  <c r="V2042" i="34"/>
  <c r="AA2046" i="34"/>
  <c r="P2046" i="34"/>
  <c r="X2046" i="34"/>
  <c r="Q2046" i="34"/>
  <c r="R2046" i="34"/>
  <c r="V2046" i="34"/>
  <c r="AA2050" i="34"/>
  <c r="P2050" i="34"/>
  <c r="X2050" i="34"/>
  <c r="Q2050" i="34"/>
  <c r="R2050" i="34"/>
  <c r="V2050" i="34"/>
  <c r="Q2095" i="34"/>
  <c r="R2095" i="34"/>
  <c r="V2095" i="34"/>
  <c r="AA2095" i="34"/>
  <c r="P2095" i="34"/>
  <c r="X2095" i="34"/>
  <c r="Q2099" i="34"/>
  <c r="R2099" i="34"/>
  <c r="V2099" i="34"/>
  <c r="AA2099" i="34"/>
  <c r="P2099" i="34"/>
  <c r="X2099" i="34"/>
  <c r="Q2103" i="34"/>
  <c r="R2103" i="34"/>
  <c r="V2103" i="34"/>
  <c r="AA2103" i="34"/>
  <c r="P2103" i="34"/>
  <c r="X2103" i="34"/>
  <c r="Q1766" i="34"/>
  <c r="R1766" i="34"/>
  <c r="V1766" i="34"/>
  <c r="AA1766" i="34"/>
  <c r="P1766" i="34"/>
  <c r="X1766" i="34"/>
  <c r="Q1772" i="34"/>
  <c r="R1772" i="34"/>
  <c r="V1772" i="34"/>
  <c r="AA1772" i="34"/>
  <c r="P1772" i="34"/>
  <c r="X1772" i="34"/>
  <c r="Q1780" i="34"/>
  <c r="R1780" i="34"/>
  <c r="V1780" i="34"/>
  <c r="AA1780" i="34"/>
  <c r="P1780" i="34"/>
  <c r="X1780" i="34"/>
  <c r="R1870" i="34"/>
  <c r="V1870" i="34"/>
  <c r="P1870" i="34"/>
  <c r="X1870" i="34"/>
  <c r="AA1870" i="34"/>
  <c r="Q1870" i="34"/>
  <c r="R1876" i="34"/>
  <c r="V1876" i="34"/>
  <c r="Q1876" i="34"/>
  <c r="AA1876" i="34"/>
  <c r="X1876" i="34"/>
  <c r="P1876" i="34"/>
  <c r="AA1880" i="34"/>
  <c r="P1880" i="34"/>
  <c r="X1880" i="34"/>
  <c r="Q1880" i="34"/>
  <c r="R1880" i="34"/>
  <c r="V1880" i="34"/>
  <c r="AA1992" i="34"/>
  <c r="P1992" i="34"/>
  <c r="X1992" i="34"/>
  <c r="Q1992" i="34"/>
  <c r="R1992" i="34"/>
  <c r="V1992" i="34"/>
  <c r="AA1823" i="34"/>
  <c r="P1823" i="34"/>
  <c r="X1823" i="34"/>
  <c r="Q1823" i="34"/>
  <c r="R1823" i="34"/>
  <c r="V1823" i="34"/>
  <c r="AA1827" i="34"/>
  <c r="P1827" i="34"/>
  <c r="X1827" i="34"/>
  <c r="Q1827" i="34"/>
  <c r="R1827" i="34"/>
  <c r="V1827" i="34"/>
  <c r="AA1831" i="34"/>
  <c r="P1831" i="34"/>
  <c r="X1831" i="34"/>
  <c r="Q1831" i="34"/>
  <c r="R1831" i="34"/>
  <c r="V1831" i="34"/>
  <c r="AA1835" i="34"/>
  <c r="P1835" i="34"/>
  <c r="X1835" i="34"/>
  <c r="Q1835" i="34"/>
  <c r="R1835" i="34"/>
  <c r="V1835" i="34"/>
  <c r="AA1884" i="34"/>
  <c r="P1884" i="34"/>
  <c r="X1884" i="34"/>
  <c r="Q1884" i="34"/>
  <c r="R1884" i="34"/>
  <c r="V1884" i="34"/>
  <c r="AA1888" i="34"/>
  <c r="P1888" i="34"/>
  <c r="X1888" i="34"/>
  <c r="Q1888" i="34"/>
  <c r="R1888" i="34"/>
  <c r="V1888" i="34"/>
  <c r="Q1927" i="34"/>
  <c r="R1927" i="34"/>
  <c r="V1927" i="34"/>
  <c r="AA1927" i="34"/>
  <c r="P1927" i="34"/>
  <c r="X1927" i="34"/>
  <c r="Q1965" i="34"/>
  <c r="R1965" i="34"/>
  <c r="V1965" i="34"/>
  <c r="AA1965" i="34"/>
  <c r="P1965" i="34"/>
  <c r="X1965" i="34"/>
  <c r="AA1769" i="34"/>
  <c r="P1769" i="34"/>
  <c r="X1769" i="34"/>
  <c r="Q1769" i="34"/>
  <c r="R1769" i="34"/>
  <c r="V1769" i="34"/>
  <c r="Q1786" i="34"/>
  <c r="R1786" i="34"/>
  <c r="V1786" i="34"/>
  <c r="AA1786" i="34"/>
  <c r="P1786" i="34"/>
  <c r="X1786" i="34"/>
  <c r="Q1804" i="34"/>
  <c r="R1804" i="34"/>
  <c r="V1804" i="34"/>
  <c r="AA1804" i="34"/>
  <c r="P1804" i="34"/>
  <c r="X1804" i="34"/>
  <c r="Q1790" i="34"/>
  <c r="R1790" i="34"/>
  <c r="V1790" i="34"/>
  <c r="AA1790" i="34"/>
  <c r="P1790" i="34"/>
  <c r="X1790" i="34"/>
  <c r="Q1794" i="34"/>
  <c r="R1794" i="34"/>
  <c r="V1794" i="34"/>
  <c r="AA1794" i="34"/>
  <c r="P1794" i="34"/>
  <c r="X1794" i="34"/>
  <c r="Q1798" i="34"/>
  <c r="R1798" i="34"/>
  <c r="V1798" i="34"/>
  <c r="AA1798" i="34"/>
  <c r="P1798" i="34"/>
  <c r="X1798" i="34"/>
  <c r="AA1805" i="34"/>
  <c r="P1805" i="34"/>
  <c r="X1805" i="34"/>
  <c r="Q1805" i="34"/>
  <c r="R1805" i="34"/>
  <c r="V1805" i="34"/>
  <c r="AA1809" i="34"/>
  <c r="P1809" i="34"/>
  <c r="X1809" i="34"/>
  <c r="Q1809" i="34"/>
  <c r="R1809" i="34"/>
  <c r="V1809" i="34"/>
  <c r="Q1836" i="34"/>
  <c r="R1836" i="34"/>
  <c r="V1836" i="34"/>
  <c r="AA1836" i="34"/>
  <c r="P1836" i="34"/>
  <c r="X1836" i="34"/>
  <c r="Q1840" i="34"/>
  <c r="R1840" i="34"/>
  <c r="V1840" i="34"/>
  <c r="P1840" i="34"/>
  <c r="X1840" i="34"/>
  <c r="AA1840" i="34"/>
  <c r="Q1844" i="34"/>
  <c r="R1844" i="34"/>
  <c r="V1844" i="34"/>
  <c r="P1844" i="34"/>
  <c r="X1844" i="34"/>
  <c r="AA1844" i="34"/>
  <c r="AA1817" i="34"/>
  <c r="P1817" i="34"/>
  <c r="X1817" i="34"/>
  <c r="Q1817" i="34"/>
  <c r="R1817" i="34"/>
  <c r="V1817" i="34"/>
  <c r="AA1821" i="34"/>
  <c r="P1821" i="34"/>
  <c r="X1821" i="34"/>
  <c r="Q1821" i="34"/>
  <c r="R1821" i="34"/>
  <c r="V1821" i="34"/>
  <c r="Q1776" i="34"/>
  <c r="R1776" i="34"/>
  <c r="V1776" i="34"/>
  <c r="AA1776" i="34"/>
  <c r="P1776" i="34"/>
  <c r="X1776" i="34"/>
  <c r="Q1848" i="34"/>
  <c r="R1848" i="34"/>
  <c r="V1848" i="34"/>
  <c r="P1848" i="34"/>
  <c r="X1848" i="34"/>
  <c r="AA1848" i="34"/>
  <c r="Q1852" i="34"/>
  <c r="R1852" i="34"/>
  <c r="V1852" i="34"/>
  <c r="P1852" i="34"/>
  <c r="X1852" i="34"/>
  <c r="AA1852" i="34"/>
  <c r="R1856" i="34"/>
  <c r="V1856" i="34"/>
  <c r="P1856" i="34"/>
  <c r="X1856" i="34"/>
  <c r="AA1856" i="34"/>
  <c r="Q1856" i="34"/>
  <c r="AA1900" i="34"/>
  <c r="P1900" i="34"/>
  <c r="X1900" i="34"/>
  <c r="Q1900" i="34"/>
  <c r="R1900" i="34"/>
  <c r="V1900" i="34"/>
  <c r="AA1904" i="34"/>
  <c r="P1904" i="34"/>
  <c r="X1904" i="34"/>
  <c r="Q1904" i="34"/>
  <c r="R1904" i="34"/>
  <c r="V1904" i="34"/>
  <c r="AA1908" i="34"/>
  <c r="P1908" i="34"/>
  <c r="X1908" i="34"/>
  <c r="Q1908" i="34"/>
  <c r="R1908" i="34"/>
  <c r="V1908" i="34"/>
  <c r="Q1200" i="34"/>
  <c r="R1200" i="34"/>
  <c r="V1200" i="34"/>
  <c r="AA1200" i="34"/>
  <c r="P1200" i="34"/>
  <c r="X1200" i="34"/>
  <c r="Q932" i="34"/>
  <c r="R932" i="34"/>
  <c r="V932" i="34"/>
  <c r="AA932" i="34"/>
  <c r="P932" i="34"/>
  <c r="X932" i="34"/>
  <c r="AA1001" i="34"/>
  <c r="P1001" i="34"/>
  <c r="X1001" i="34"/>
  <c r="Q1001" i="34"/>
  <c r="R1001" i="34"/>
  <c r="V1001" i="34"/>
  <c r="AA1005" i="34"/>
  <c r="P1005" i="34"/>
  <c r="X1005" i="34"/>
  <c r="Q1005" i="34"/>
  <c r="R1005" i="34"/>
  <c r="V1005" i="34"/>
  <c r="AA921" i="34"/>
  <c r="P921" i="34"/>
  <c r="X921" i="34"/>
  <c r="Q921" i="34"/>
  <c r="R921" i="34"/>
  <c r="V921" i="34"/>
  <c r="S1237" i="34"/>
  <c r="AA1237" i="34"/>
  <c r="P1237" i="34"/>
  <c r="T1237" i="34"/>
  <c r="X1237" i="34"/>
  <c r="Q1237" i="34"/>
  <c r="U1237" i="34"/>
  <c r="R1237" i="34"/>
  <c r="V1237" i="34"/>
  <c r="S1243" i="34"/>
  <c r="AA1243" i="34"/>
  <c r="P1243" i="34"/>
  <c r="T1243" i="34"/>
  <c r="X1243" i="34"/>
  <c r="Q1243" i="34"/>
  <c r="U1243" i="34"/>
  <c r="R1243" i="34"/>
  <c r="V1243" i="34"/>
  <c r="P1247" i="34"/>
  <c r="T1247" i="34"/>
  <c r="X1247" i="34"/>
  <c r="R1247" i="34"/>
  <c r="V1247" i="34"/>
  <c r="Q1247" i="34"/>
  <c r="S1247" i="34"/>
  <c r="U1247" i="34"/>
  <c r="AA1247" i="34"/>
  <c r="S1277" i="34"/>
  <c r="AA1277" i="34"/>
  <c r="P1277" i="34"/>
  <c r="T1277" i="34"/>
  <c r="X1277" i="34"/>
  <c r="Q1277" i="34"/>
  <c r="U1277" i="34"/>
  <c r="R1277" i="34"/>
  <c r="V1277" i="34"/>
  <c r="S1281" i="34"/>
  <c r="AA1281" i="34"/>
  <c r="P1281" i="34"/>
  <c r="T1281" i="34"/>
  <c r="X1281" i="34"/>
  <c r="Q1281" i="34"/>
  <c r="U1281" i="34"/>
  <c r="R1281" i="34"/>
  <c r="V1281" i="34"/>
  <c r="S1305" i="34"/>
  <c r="AA1305" i="34"/>
  <c r="P1305" i="34"/>
  <c r="T1305" i="34"/>
  <c r="X1305" i="34"/>
  <c r="Q1305" i="34"/>
  <c r="U1305" i="34"/>
  <c r="R1305" i="34"/>
  <c r="V1305" i="34"/>
  <c r="S1309" i="34"/>
  <c r="AA1309" i="34"/>
  <c r="P1309" i="34"/>
  <c r="T1309" i="34"/>
  <c r="X1309" i="34"/>
  <c r="Q1309" i="34"/>
  <c r="U1309" i="34"/>
  <c r="R1309" i="34"/>
  <c r="V1309" i="34"/>
  <c r="Q1658" i="34"/>
  <c r="R1658" i="34"/>
  <c r="V1658" i="34"/>
  <c r="AA1658" i="34"/>
  <c r="P1658" i="34"/>
  <c r="X1658" i="34"/>
  <c r="Q1662" i="34"/>
  <c r="R1662" i="34"/>
  <c r="V1662" i="34"/>
  <c r="AA1662" i="34"/>
  <c r="P1662" i="34"/>
  <c r="X1662" i="34"/>
  <c r="AA1687" i="34"/>
  <c r="P1687" i="34"/>
  <c r="X1687" i="34"/>
  <c r="Q1687" i="34"/>
  <c r="R1687" i="34"/>
  <c r="V1687" i="34"/>
  <c r="AA1691" i="34"/>
  <c r="P1691" i="34"/>
  <c r="X1691" i="34"/>
  <c r="Q1691" i="34"/>
  <c r="R1691" i="34"/>
  <c r="V1691" i="34"/>
  <c r="Q1712" i="34"/>
  <c r="R1712" i="34"/>
  <c r="V1712" i="34"/>
  <c r="AA1712" i="34"/>
  <c r="P1712" i="34"/>
  <c r="X1712" i="34"/>
  <c r="Q1716" i="34"/>
  <c r="R1716" i="34"/>
  <c r="V1716" i="34"/>
  <c r="AA1716" i="34"/>
  <c r="P1716" i="34"/>
  <c r="X1716" i="34"/>
  <c r="Q1746" i="34"/>
  <c r="R1746" i="34"/>
  <c r="V1746" i="34"/>
  <c r="AA1746" i="34"/>
  <c r="P1746" i="34"/>
  <c r="X1746" i="34"/>
  <c r="Q1750" i="34"/>
  <c r="R1750" i="34"/>
  <c r="V1750" i="34"/>
  <c r="AA1750" i="34"/>
  <c r="P1750" i="34"/>
  <c r="X1750" i="34"/>
  <c r="Q1754" i="34"/>
  <c r="R1754" i="34"/>
  <c r="V1754" i="34"/>
  <c r="AA1754" i="34"/>
  <c r="P1754" i="34"/>
  <c r="X1754" i="34"/>
  <c r="Q2183" i="34"/>
  <c r="R2183" i="34"/>
  <c r="V2183" i="34"/>
  <c r="AA2183" i="34"/>
  <c r="P2183" i="34"/>
  <c r="X2183" i="34"/>
  <c r="AA2106" i="34"/>
  <c r="P2106" i="34"/>
  <c r="X2106" i="34"/>
  <c r="Q2106" i="34"/>
  <c r="R2106" i="34"/>
  <c r="V2106" i="34"/>
  <c r="Q2181" i="34"/>
  <c r="R2181" i="34"/>
  <c r="V2181" i="34"/>
  <c r="AA2181" i="34"/>
  <c r="P2181" i="34"/>
  <c r="X2181" i="34"/>
  <c r="Q2185" i="34"/>
  <c r="R2185" i="34"/>
  <c r="V2185" i="34"/>
  <c r="AA2185" i="34"/>
  <c r="P2185" i="34"/>
  <c r="X2185" i="34"/>
  <c r="Q2193" i="34"/>
  <c r="R2193" i="34"/>
  <c r="V2193" i="34"/>
  <c r="AA2193" i="34"/>
  <c r="P2193" i="34"/>
  <c r="X2193" i="34"/>
  <c r="Q2205" i="34"/>
  <c r="R2205" i="34"/>
  <c r="V2205" i="34"/>
  <c r="AA2205" i="34"/>
  <c r="P2205" i="34"/>
  <c r="X2205" i="34"/>
  <c r="Q2297" i="34"/>
  <c r="R2297" i="34"/>
  <c r="V2297" i="34"/>
  <c r="AA2297" i="34"/>
  <c r="P2297" i="34"/>
  <c r="X2297" i="34"/>
  <c r="Q2305" i="34"/>
  <c r="R2305" i="34"/>
  <c r="V2305" i="34"/>
  <c r="AA2305" i="34"/>
  <c r="P2305" i="34"/>
  <c r="X2305" i="34"/>
  <c r="Q2313" i="34"/>
  <c r="R2313" i="34"/>
  <c r="V2313" i="34"/>
  <c r="P2313" i="34"/>
  <c r="X2313" i="34"/>
  <c r="AA2313" i="34"/>
  <c r="R2321" i="34"/>
  <c r="V2321" i="34"/>
  <c r="P2321" i="34"/>
  <c r="X2321" i="34"/>
  <c r="Q2321" i="34"/>
  <c r="AA2321" i="34"/>
  <c r="Q2005" i="34"/>
  <c r="R2005" i="34"/>
  <c r="V2005" i="34"/>
  <c r="AA2005" i="34"/>
  <c r="P2005" i="34"/>
  <c r="X2005" i="34"/>
  <c r="Q2017" i="34"/>
  <c r="R2017" i="34"/>
  <c r="V2017" i="34"/>
  <c r="AA2017" i="34"/>
  <c r="P2017" i="34"/>
  <c r="X2017" i="34"/>
  <c r="Q2021" i="34"/>
  <c r="R2021" i="34"/>
  <c r="V2021" i="34"/>
  <c r="AA2021" i="34"/>
  <c r="P2021" i="34"/>
  <c r="X2021" i="34"/>
  <c r="Q2025" i="34"/>
  <c r="R2025" i="34"/>
  <c r="V2025" i="34"/>
  <c r="AA2025" i="34"/>
  <c r="P2025" i="34"/>
  <c r="X2025" i="34"/>
  <c r="Q2029" i="34"/>
  <c r="R2029" i="34"/>
  <c r="V2029" i="34"/>
  <c r="AA2029" i="34"/>
  <c r="P2029" i="34"/>
  <c r="X2029" i="34"/>
  <c r="Q2033" i="34"/>
  <c r="R2033" i="34"/>
  <c r="V2033" i="34"/>
  <c r="AA2033" i="34"/>
  <c r="P2033" i="34"/>
  <c r="X2033" i="34"/>
  <c r="AA2088" i="34"/>
  <c r="P2088" i="34"/>
  <c r="X2088" i="34"/>
  <c r="Q2088" i="34"/>
  <c r="R2088" i="34"/>
  <c r="V2088" i="34"/>
  <c r="AA2092" i="34"/>
  <c r="P2092" i="34"/>
  <c r="X2092" i="34"/>
  <c r="Q2092" i="34"/>
  <c r="R2092" i="34"/>
  <c r="V2092" i="34"/>
  <c r="AA2154" i="34"/>
  <c r="P2154" i="34"/>
  <c r="X2154" i="34"/>
  <c r="Q2154" i="34"/>
  <c r="R2154" i="34"/>
  <c r="V2154" i="34"/>
  <c r="AA2158" i="34"/>
  <c r="P2158" i="34"/>
  <c r="X2158" i="34"/>
  <c r="Q2158" i="34"/>
  <c r="R2158" i="34"/>
  <c r="V2158" i="34"/>
  <c r="AA2162" i="34"/>
  <c r="P2162" i="34"/>
  <c r="X2162" i="34"/>
  <c r="Q2162" i="34"/>
  <c r="R2162" i="34"/>
  <c r="V2162" i="34"/>
  <c r="AA2166" i="34"/>
  <c r="P2166" i="34"/>
  <c r="X2166" i="34"/>
  <c r="Q2166" i="34"/>
  <c r="R2166" i="34"/>
  <c r="V2166" i="34"/>
  <c r="AA2170" i="34"/>
  <c r="P2170" i="34"/>
  <c r="X2170" i="34"/>
  <c r="Q2170" i="34"/>
  <c r="R2170" i="34"/>
  <c r="V2170" i="34"/>
  <c r="AA2174" i="34"/>
  <c r="P2174" i="34"/>
  <c r="X2174" i="34"/>
  <c r="Q2174" i="34"/>
  <c r="R2174" i="34"/>
  <c r="V2174" i="34"/>
  <c r="AA2178" i="34"/>
  <c r="P2178" i="34"/>
  <c r="X2178" i="34"/>
  <c r="Q2178" i="34"/>
  <c r="R2178" i="34"/>
  <c r="V2178" i="34"/>
  <c r="Q1937" i="34"/>
  <c r="R1937" i="34"/>
  <c r="V1937" i="34"/>
  <c r="AA1937" i="34"/>
  <c r="P1937" i="34"/>
  <c r="X1937" i="34"/>
  <c r="Q1941" i="34"/>
  <c r="R1941" i="34"/>
  <c r="V1941" i="34"/>
  <c r="AA1941" i="34"/>
  <c r="P1941" i="34"/>
  <c r="X1941" i="34"/>
  <c r="Q1945" i="34"/>
  <c r="R1945" i="34"/>
  <c r="V1945" i="34"/>
  <c r="AA1945" i="34"/>
  <c r="P1945" i="34"/>
  <c r="X1945" i="34"/>
  <c r="AA1968" i="34"/>
  <c r="P1968" i="34"/>
  <c r="X1968" i="34"/>
  <c r="Q1968" i="34"/>
  <c r="R1968" i="34"/>
  <c r="V1968" i="34"/>
  <c r="AA1972" i="34"/>
  <c r="P1972" i="34"/>
  <c r="X1972" i="34"/>
  <c r="Q1972" i="34"/>
  <c r="R1972" i="34"/>
  <c r="V1972" i="34"/>
  <c r="AA1777" i="34"/>
  <c r="P1777" i="34"/>
  <c r="X1777" i="34"/>
  <c r="Q1777" i="34"/>
  <c r="R1777" i="34"/>
  <c r="V1777" i="34"/>
  <c r="R1860" i="34"/>
  <c r="V1860" i="34"/>
  <c r="P1860" i="34"/>
  <c r="X1860" i="34"/>
  <c r="AA1860" i="34"/>
  <c r="Q1860" i="34"/>
  <c r="R1864" i="34"/>
  <c r="V1864" i="34"/>
  <c r="P1864" i="34"/>
  <c r="X1864" i="34"/>
  <c r="AA1864" i="34"/>
  <c r="Q1864" i="34"/>
  <c r="R1868" i="34"/>
  <c r="V1868" i="34"/>
  <c r="P1868" i="34"/>
  <c r="X1868" i="34"/>
  <c r="AA1868" i="34"/>
  <c r="Q1868" i="34"/>
  <c r="AA1914" i="34"/>
  <c r="P1914" i="34"/>
  <c r="X1914" i="34"/>
  <c r="Q1914" i="34"/>
  <c r="R1914" i="34"/>
  <c r="V1914" i="34"/>
  <c r="AA1918" i="34"/>
  <c r="P1918" i="34"/>
  <c r="X1918" i="34"/>
  <c r="Q1918" i="34"/>
  <c r="R1918" i="34"/>
  <c r="V1918" i="34"/>
  <c r="AA1922" i="34"/>
  <c r="P1922" i="34"/>
  <c r="X1922" i="34"/>
  <c r="Q1922" i="34"/>
  <c r="R1922" i="34"/>
  <c r="V1922" i="34"/>
  <c r="Q1947" i="34"/>
  <c r="R1947" i="34"/>
  <c r="V1947" i="34"/>
  <c r="AA1947" i="34"/>
  <c r="P1947" i="34"/>
  <c r="X1947" i="34"/>
  <c r="Q1951" i="34"/>
  <c r="R1951" i="34"/>
  <c r="V1951" i="34"/>
  <c r="AA1951" i="34"/>
  <c r="P1951" i="34"/>
  <c r="X1951" i="34"/>
  <c r="Q1955" i="34"/>
  <c r="R1955" i="34"/>
  <c r="V1955" i="34"/>
  <c r="AA1955" i="34"/>
  <c r="P1955" i="34"/>
  <c r="X1955" i="34"/>
  <c r="AA1976" i="34"/>
  <c r="P1976" i="34"/>
  <c r="X1976" i="34"/>
  <c r="Q1976" i="34"/>
  <c r="R1976" i="34"/>
  <c r="V1976" i="34"/>
  <c r="AA1980" i="34"/>
  <c r="P1980" i="34"/>
  <c r="X1980" i="34"/>
  <c r="Q1980" i="34"/>
  <c r="R1980" i="34"/>
  <c r="V1980" i="34"/>
  <c r="AA2000" i="34"/>
  <c r="P2000" i="34"/>
  <c r="X2000" i="34"/>
  <c r="Q2000" i="34"/>
  <c r="R2000" i="34"/>
  <c r="V2000" i="34"/>
  <c r="Q2035" i="34"/>
  <c r="R2035" i="34"/>
  <c r="V2035" i="34"/>
  <c r="AA2035" i="34"/>
  <c r="P2035" i="34"/>
  <c r="X2035" i="34"/>
  <c r="Q2179" i="34"/>
  <c r="R2179" i="34"/>
  <c r="V2179" i="34"/>
  <c r="AA2179" i="34"/>
  <c r="P2179" i="34"/>
  <c r="X2179" i="34"/>
  <c r="Q2039" i="34"/>
  <c r="R2039" i="34"/>
  <c r="V2039" i="34"/>
  <c r="AA2039" i="34"/>
  <c r="P2039" i="34"/>
  <c r="X2039" i="34"/>
  <c r="Q2043" i="34"/>
  <c r="R2043" i="34"/>
  <c r="V2043" i="34"/>
  <c r="AA2043" i="34"/>
  <c r="P2043" i="34"/>
  <c r="X2043" i="34"/>
  <c r="Q2047" i="34"/>
  <c r="R2047" i="34"/>
  <c r="V2047" i="34"/>
  <c r="AA2047" i="34"/>
  <c r="P2047" i="34"/>
  <c r="X2047" i="34"/>
  <c r="Q2051" i="34"/>
  <c r="R2051" i="34"/>
  <c r="V2051" i="34"/>
  <c r="AA2051" i="34"/>
  <c r="P2051" i="34"/>
  <c r="X2051" i="34"/>
  <c r="AA2096" i="34"/>
  <c r="P2096" i="34"/>
  <c r="X2096" i="34"/>
  <c r="Q2096" i="34"/>
  <c r="R2096" i="34"/>
  <c r="V2096" i="34"/>
  <c r="AA2100" i="34"/>
  <c r="P2100" i="34"/>
  <c r="X2100" i="34"/>
  <c r="Q2100" i="34"/>
  <c r="R2100" i="34"/>
  <c r="V2100" i="34"/>
  <c r="AA2104" i="34"/>
  <c r="P2104" i="34"/>
  <c r="X2104" i="34"/>
  <c r="Q2104" i="34"/>
  <c r="R2104" i="34"/>
  <c r="V2104" i="34"/>
  <c r="Q1993" i="34"/>
  <c r="R1993" i="34"/>
  <c r="V1993" i="34"/>
  <c r="AA1993" i="34"/>
  <c r="P1993" i="34"/>
  <c r="X1993" i="34"/>
  <c r="AA1773" i="34"/>
  <c r="P1773" i="34"/>
  <c r="X1773" i="34"/>
  <c r="Q1773" i="34"/>
  <c r="R1773" i="34"/>
  <c r="V1773" i="34"/>
  <c r="AA1781" i="34"/>
  <c r="P1781" i="34"/>
  <c r="X1781" i="34"/>
  <c r="Q1781" i="34"/>
  <c r="R1781" i="34"/>
  <c r="V1781" i="34"/>
  <c r="P1871" i="34"/>
  <c r="X1871" i="34"/>
  <c r="R1871" i="34"/>
  <c r="V1871" i="34"/>
  <c r="AA1871" i="34"/>
  <c r="Q1871" i="34"/>
  <c r="Q1877" i="34"/>
  <c r="R1877" i="34"/>
  <c r="V1877" i="34"/>
  <c r="AA1877" i="34"/>
  <c r="P1877" i="34"/>
  <c r="X1877" i="34"/>
  <c r="Q1989" i="34"/>
  <c r="R1989" i="34"/>
  <c r="V1989" i="34"/>
  <c r="AA1989" i="34"/>
  <c r="P1989" i="34"/>
  <c r="X1989" i="34"/>
  <c r="AA1996" i="34"/>
  <c r="P1996" i="34"/>
  <c r="X1996" i="34"/>
  <c r="Q1996" i="34"/>
  <c r="R1996" i="34"/>
  <c r="V1996" i="34"/>
  <c r="Q1824" i="34"/>
  <c r="R1824" i="34"/>
  <c r="V1824" i="34"/>
  <c r="AA1824" i="34"/>
  <c r="P1824" i="34"/>
  <c r="X1824" i="34"/>
  <c r="Q1828" i="34"/>
  <c r="R1828" i="34"/>
  <c r="V1828" i="34"/>
  <c r="AA1828" i="34"/>
  <c r="P1828" i="34"/>
  <c r="X1828" i="34"/>
  <c r="Q1832" i="34"/>
  <c r="R1832" i="34"/>
  <c r="V1832" i="34"/>
  <c r="AA1832" i="34"/>
  <c r="P1832" i="34"/>
  <c r="X1832" i="34"/>
  <c r="Q1881" i="34"/>
  <c r="R1881" i="34"/>
  <c r="V1881" i="34"/>
  <c r="AA1881" i="34"/>
  <c r="P1881" i="34"/>
  <c r="X1881" i="34"/>
  <c r="Q1885" i="34"/>
  <c r="R1885" i="34"/>
  <c r="V1885" i="34"/>
  <c r="AA1885" i="34"/>
  <c r="P1885" i="34"/>
  <c r="X1885" i="34"/>
  <c r="Q1889" i="34"/>
  <c r="R1889" i="34"/>
  <c r="V1889" i="34"/>
  <c r="AA1889" i="34"/>
  <c r="P1889" i="34"/>
  <c r="X1889" i="34"/>
  <c r="Q1935" i="34"/>
  <c r="R1935" i="34"/>
  <c r="V1935" i="34"/>
  <c r="AA1935" i="34"/>
  <c r="P1935" i="34"/>
  <c r="X1935" i="34"/>
  <c r="AA1982" i="34"/>
  <c r="P1982" i="34"/>
  <c r="X1982" i="34"/>
  <c r="Q1982" i="34"/>
  <c r="R1982" i="34"/>
  <c r="V1982" i="34"/>
  <c r="Q1770" i="34"/>
  <c r="R1770" i="34"/>
  <c r="V1770" i="34"/>
  <c r="AA1770" i="34"/>
  <c r="P1770" i="34"/>
  <c r="X1770" i="34"/>
  <c r="Q1774" i="34"/>
  <c r="R1774" i="34"/>
  <c r="V1774" i="34"/>
  <c r="AA1774" i="34"/>
  <c r="P1774" i="34"/>
  <c r="X1774" i="34"/>
  <c r="AA1787" i="34"/>
  <c r="P1787" i="34"/>
  <c r="X1787" i="34"/>
  <c r="Q1787" i="34"/>
  <c r="R1787" i="34"/>
  <c r="V1787" i="34"/>
  <c r="AA1791" i="34"/>
  <c r="P1791" i="34"/>
  <c r="X1791" i="34"/>
  <c r="Q1791" i="34"/>
  <c r="R1791" i="34"/>
  <c r="V1791" i="34"/>
  <c r="AA1795" i="34"/>
  <c r="P1795" i="34"/>
  <c r="X1795" i="34"/>
  <c r="Q1795" i="34"/>
  <c r="R1795" i="34"/>
  <c r="V1795" i="34"/>
  <c r="AA1799" i="34"/>
  <c r="P1799" i="34"/>
  <c r="X1799" i="34"/>
  <c r="Q1799" i="34"/>
  <c r="R1799" i="34"/>
  <c r="V1799" i="34"/>
  <c r="Q1806" i="34"/>
  <c r="R1806" i="34"/>
  <c r="V1806" i="34"/>
  <c r="AA1806" i="34"/>
  <c r="P1806" i="34"/>
  <c r="X1806" i="34"/>
  <c r="Q1810" i="34"/>
  <c r="R1810" i="34"/>
  <c r="V1810" i="34"/>
  <c r="AA1810" i="34"/>
  <c r="P1810" i="34"/>
  <c r="X1810" i="34"/>
  <c r="AA1837" i="34"/>
  <c r="P1837" i="34"/>
  <c r="X1837" i="34"/>
  <c r="Q1837" i="34"/>
  <c r="R1837" i="34"/>
  <c r="V1837" i="34"/>
  <c r="AA1841" i="34"/>
  <c r="P1841" i="34"/>
  <c r="X1841" i="34"/>
  <c r="R1841" i="34"/>
  <c r="V1841" i="34"/>
  <c r="Q1841" i="34"/>
  <c r="AA1845" i="34"/>
  <c r="P1845" i="34"/>
  <c r="X1845" i="34"/>
  <c r="R1845" i="34"/>
  <c r="V1845" i="34"/>
  <c r="Q1845" i="34"/>
  <c r="Q1818" i="34"/>
  <c r="R1818" i="34"/>
  <c r="V1818" i="34"/>
  <c r="AA1818" i="34"/>
  <c r="P1818" i="34"/>
  <c r="X1818" i="34"/>
  <c r="Q1822" i="34"/>
  <c r="R1822" i="34"/>
  <c r="V1822" i="34"/>
  <c r="AA1822" i="34"/>
  <c r="P1822" i="34"/>
  <c r="X1822" i="34"/>
  <c r="AA1813" i="34"/>
  <c r="P1813" i="34"/>
  <c r="X1813" i="34"/>
  <c r="Q1813" i="34"/>
  <c r="R1813" i="34"/>
  <c r="V1813" i="34"/>
  <c r="AA1849" i="34"/>
  <c r="P1849" i="34"/>
  <c r="X1849" i="34"/>
  <c r="R1849" i="34"/>
  <c r="V1849" i="34"/>
  <c r="Q1849" i="34"/>
  <c r="AA1853" i="34"/>
  <c r="P1853" i="34"/>
  <c r="X1853" i="34"/>
  <c r="R1853" i="34"/>
  <c r="V1853" i="34"/>
  <c r="Q1853" i="34"/>
  <c r="P1857" i="34"/>
  <c r="X1857" i="34"/>
  <c r="R1857" i="34"/>
  <c r="V1857" i="34"/>
  <c r="AA1857" i="34"/>
  <c r="Q1857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AA1203" i="34"/>
  <c r="P1203" i="34"/>
  <c r="X1203" i="34"/>
  <c r="Q1203" i="34"/>
  <c r="R1203" i="34"/>
  <c r="V1203" i="34"/>
  <c r="R1034" i="34"/>
  <c r="V1034" i="34"/>
  <c r="P1034" i="34"/>
  <c r="X1034" i="34"/>
  <c r="Q1034" i="34"/>
  <c r="AA1034" i="34"/>
  <c r="AA933" i="34"/>
  <c r="P933" i="34"/>
  <c r="X933" i="34"/>
  <c r="Q933" i="34"/>
  <c r="R933" i="34"/>
  <c r="V933" i="34"/>
  <c r="Q1002" i="34"/>
  <c r="R1002" i="34"/>
  <c r="V1002" i="34"/>
  <c r="AA1002" i="34"/>
  <c r="P1002" i="34"/>
  <c r="X1002" i="34"/>
  <c r="Q1006" i="34"/>
  <c r="R1006" i="34"/>
  <c r="V1006" i="34"/>
  <c r="AA1006" i="34"/>
  <c r="P1006" i="34"/>
  <c r="X1006" i="34"/>
  <c r="Q928" i="34"/>
  <c r="R928" i="34"/>
  <c r="V928" i="34"/>
  <c r="AA928" i="34"/>
  <c r="P928" i="34"/>
  <c r="X928" i="34"/>
  <c r="Q1238" i="34"/>
  <c r="U1238" i="34"/>
  <c r="R1238" i="34"/>
  <c r="V1238" i="34"/>
  <c r="S1238" i="34"/>
  <c r="AA1238" i="34"/>
  <c r="P1238" i="34"/>
  <c r="T1238" i="34"/>
  <c r="X1238" i="34"/>
  <c r="Q1244" i="34"/>
  <c r="U1244" i="34"/>
  <c r="R1244" i="34"/>
  <c r="V1244" i="34"/>
  <c r="S1244" i="34"/>
  <c r="AA1244" i="34"/>
  <c r="P1244" i="34"/>
  <c r="T1244" i="34"/>
  <c r="X1244" i="34"/>
  <c r="R1248" i="34"/>
  <c r="V1248" i="34"/>
  <c r="P1248" i="34"/>
  <c r="T1248" i="34"/>
  <c r="X1248" i="34"/>
  <c r="U1248" i="34"/>
  <c r="AA1248" i="34"/>
  <c r="Q1248" i="34"/>
  <c r="S1248" i="34"/>
  <c r="Q1278" i="34"/>
  <c r="U1278" i="34"/>
  <c r="R1278" i="34"/>
  <c r="V1278" i="34"/>
  <c r="S1278" i="34"/>
  <c r="AA1278" i="34"/>
  <c r="P1278" i="34"/>
  <c r="T1278" i="34"/>
  <c r="X1278" i="34"/>
  <c r="Q1282" i="34"/>
  <c r="U1282" i="34"/>
  <c r="R1282" i="34"/>
  <c r="V1282" i="34"/>
  <c r="S1282" i="34"/>
  <c r="AA1282" i="34"/>
  <c r="P1282" i="34"/>
  <c r="T1282" i="34"/>
  <c r="X1282" i="34"/>
  <c r="Q1306" i="34"/>
  <c r="U1306" i="34"/>
  <c r="R1306" i="34"/>
  <c r="V1306" i="34"/>
  <c r="S1306" i="34"/>
  <c r="AA1306" i="34"/>
  <c r="P1306" i="34"/>
  <c r="T1306" i="34"/>
  <c r="X1306" i="34"/>
  <c r="Q1310" i="34"/>
  <c r="U1310" i="34"/>
  <c r="R1310" i="34"/>
  <c r="V1310" i="34"/>
  <c r="S1310" i="34"/>
  <c r="AA1310" i="34"/>
  <c r="P1310" i="34"/>
  <c r="T1310" i="34"/>
  <c r="X1310" i="34"/>
  <c r="AA1324" i="34"/>
  <c r="P1324" i="34"/>
  <c r="X1324" i="34"/>
  <c r="Q1324" i="34"/>
  <c r="R1324" i="34"/>
  <c r="V1324" i="34"/>
  <c r="AA1659" i="34"/>
  <c r="P1659" i="34"/>
  <c r="X1659" i="34"/>
  <c r="Q1659" i="34"/>
  <c r="R1659" i="34"/>
  <c r="V1659" i="34"/>
  <c r="AA1663" i="34"/>
  <c r="P1663" i="34"/>
  <c r="X1663" i="34"/>
  <c r="Q1663" i="34"/>
  <c r="R1663" i="34"/>
  <c r="V1663" i="34"/>
  <c r="Q1688" i="34"/>
  <c r="R1688" i="34"/>
  <c r="V1688" i="34"/>
  <c r="AA1688" i="34"/>
  <c r="P1688" i="34"/>
  <c r="X1688" i="34"/>
  <c r="Q1692" i="34"/>
  <c r="R1692" i="34"/>
  <c r="V1692" i="34"/>
  <c r="AA1692" i="34"/>
  <c r="P1692" i="34"/>
  <c r="X1692" i="34"/>
  <c r="AA1713" i="34"/>
  <c r="P1713" i="34"/>
  <c r="X1713" i="34"/>
  <c r="Q1713" i="34"/>
  <c r="R1713" i="34"/>
  <c r="V1713" i="34"/>
  <c r="AA1717" i="34"/>
  <c r="P1717" i="34"/>
  <c r="X1717" i="34"/>
  <c r="Q1717" i="34"/>
  <c r="R1717" i="34"/>
  <c r="V1717" i="34"/>
  <c r="AA1747" i="34"/>
  <c r="P1747" i="34"/>
  <c r="X1747" i="34"/>
  <c r="Q1747" i="34"/>
  <c r="R1747" i="34"/>
  <c r="V1747" i="34"/>
  <c r="AA1751" i="34"/>
  <c r="P1751" i="34"/>
  <c r="X1751" i="34"/>
  <c r="Q1751" i="34"/>
  <c r="R1751" i="34"/>
  <c r="V1751" i="34"/>
  <c r="AA1755" i="34"/>
  <c r="P1755" i="34"/>
  <c r="X1755" i="34"/>
  <c r="Q1755" i="34"/>
  <c r="R1755" i="34"/>
  <c r="V1755" i="34"/>
  <c r="A1203" i="34"/>
  <c r="A1034" i="34"/>
  <c r="A933" i="34"/>
  <c r="A1002" i="34"/>
  <c r="A1006" i="34"/>
  <c r="A928" i="34"/>
  <c r="A1238" i="34"/>
  <c r="A1244" i="34"/>
  <c r="A1248" i="34"/>
  <c r="A1278" i="34"/>
  <c r="A1282" i="34"/>
  <c r="A1306" i="34"/>
  <c r="A1310" i="34"/>
  <c r="A1324" i="34"/>
  <c r="A1342" i="34"/>
  <c r="A1432" i="34"/>
  <c r="A1436" i="34"/>
  <c r="A1440" i="34"/>
  <c r="A1205" i="34"/>
  <c r="A930" i="34"/>
  <c r="A934" i="34"/>
  <c r="A1003" i="34"/>
  <c r="A1007" i="34"/>
  <c r="A929" i="34"/>
  <c r="A1241" i="34"/>
  <c r="A1245" i="34"/>
  <c r="A1249" i="34"/>
  <c r="A1279" i="34"/>
  <c r="A1283" i="34"/>
  <c r="A1307" i="34"/>
  <c r="A1311" i="34"/>
  <c r="A1343" i="34"/>
  <c r="A1433" i="34"/>
  <c r="A1437" i="34"/>
  <c r="A1199" i="34"/>
  <c r="A931" i="34"/>
  <c r="A1000" i="34"/>
  <c r="A1004" i="34"/>
  <c r="A920" i="34"/>
  <c r="A1236" i="34"/>
  <c r="A1242" i="34"/>
  <c r="A1246" i="34"/>
  <c r="A1274" i="34"/>
  <c r="A1280" i="34"/>
  <c r="A1304" i="34"/>
  <c r="A1308" i="34"/>
  <c r="A1323" i="34"/>
  <c r="A1350" i="34"/>
  <c r="A1434" i="34"/>
  <c r="A1438" i="34"/>
  <c r="A1200" i="34"/>
  <c r="A932" i="34"/>
  <c r="A1001" i="34"/>
  <c r="A1005" i="34"/>
  <c r="A921" i="34"/>
  <c r="A1237" i="34"/>
  <c r="A1243" i="34"/>
  <c r="A1247" i="34"/>
  <c r="A1277" i="34"/>
  <c r="A1281" i="34"/>
  <c r="A1305" i="34"/>
  <c r="A1309" i="34"/>
  <c r="A1341" i="34"/>
  <c r="A1386" i="34"/>
  <c r="A1435" i="34"/>
  <c r="A1439" i="34"/>
  <c r="A2112" i="34"/>
  <c r="A2180" i="34"/>
  <c r="A2192" i="34"/>
  <c r="A2106" i="34"/>
  <c r="A2181" i="34"/>
  <c r="A2189" i="34"/>
  <c r="A2197" i="34"/>
  <c r="A2205" i="34"/>
  <c r="A2293" i="34"/>
  <c r="A2297" i="34"/>
  <c r="A2301" i="34"/>
  <c r="A2305" i="34"/>
  <c r="A2309" i="34"/>
  <c r="A2313" i="34"/>
  <c r="A2317" i="34"/>
  <c r="A2321" i="34"/>
  <c r="A2006" i="34"/>
  <c r="A2010" i="34"/>
  <c r="A2018" i="34"/>
  <c r="A2022" i="34"/>
  <c r="A2026" i="34"/>
  <c r="A2030" i="34"/>
  <c r="A2085" i="34"/>
  <c r="A2089" i="34"/>
  <c r="A2093" i="34"/>
  <c r="A2155" i="34"/>
  <c r="A2159" i="34"/>
  <c r="A2163" i="34"/>
  <c r="A2167" i="34"/>
  <c r="A2171" i="34"/>
  <c r="A2175" i="34"/>
  <c r="A1909" i="34"/>
  <c r="A1938" i="34"/>
  <c r="A1942" i="34"/>
  <c r="A1946" i="34"/>
  <c r="A1969" i="34"/>
  <c r="A1973" i="34"/>
  <c r="A1814" i="34"/>
  <c r="A1861" i="34"/>
  <c r="A1865" i="34"/>
  <c r="A1869" i="34"/>
  <c r="A1915" i="34"/>
  <c r="A1919" i="34"/>
  <c r="A1923" i="34"/>
  <c r="A1948" i="34"/>
  <c r="A1952" i="34"/>
  <c r="A1956" i="34"/>
  <c r="A1977" i="34"/>
  <c r="A1981" i="34"/>
  <c r="A2014" i="34"/>
  <c r="A2149" i="34"/>
  <c r="A2037" i="34"/>
  <c r="A2041" i="34"/>
  <c r="A2045" i="34"/>
  <c r="A2049" i="34"/>
  <c r="A2094" i="34"/>
  <c r="A2098" i="34"/>
  <c r="A2102" i="34"/>
  <c r="A1765" i="34"/>
  <c r="A1771" i="34"/>
  <c r="A1779" i="34"/>
  <c r="A1802" i="34"/>
  <c r="A1874" i="34"/>
  <c r="A1879" i="34"/>
  <c r="A1991" i="34"/>
  <c r="A1998" i="34"/>
  <c r="A1826" i="34"/>
  <c r="A1830" i="34"/>
  <c r="A1834" i="34"/>
  <c r="A1883" i="34"/>
  <c r="A1887" i="34"/>
  <c r="A1891" i="34"/>
  <c r="A1964" i="34"/>
  <c r="A1984" i="34"/>
  <c r="A1785" i="34"/>
  <c r="A1803" i="34"/>
  <c r="A1789" i="34"/>
  <c r="A1793" i="34"/>
  <c r="A1797" i="34"/>
  <c r="A1801" i="34"/>
  <c r="A1808" i="34"/>
  <c r="A1812" i="34"/>
  <c r="A1839" i="34"/>
  <c r="A1843" i="34"/>
  <c r="A1816" i="34"/>
  <c r="A1820" i="34"/>
  <c r="A1897" i="34"/>
  <c r="A1847" i="34"/>
  <c r="A1851" i="34"/>
  <c r="A1855" i="34"/>
  <c r="A1899" i="34"/>
  <c r="A1903" i="34"/>
  <c r="A1907" i="34"/>
  <c r="A1458" i="34"/>
  <c r="A1460" i="34"/>
  <c r="A1462" i="34"/>
  <c r="A1496" i="34"/>
  <c r="A1498" i="34"/>
  <c r="A1500" i="34"/>
  <c r="A1502" i="34"/>
  <c r="A1504" i="34"/>
  <c r="A1506" i="34"/>
  <c r="A1508" i="34"/>
  <c r="A1525" i="34"/>
  <c r="A1527" i="34"/>
  <c r="A1529" i="34"/>
  <c r="A1531" i="34"/>
  <c r="A1598" i="34"/>
  <c r="A1600" i="34"/>
  <c r="A1602" i="34"/>
  <c r="A1604" i="34"/>
  <c r="A1633" i="34"/>
  <c r="A1657" i="34"/>
  <c r="A1659" i="34"/>
  <c r="A1661" i="34"/>
  <c r="A1663" i="34"/>
  <c r="A1686" i="34"/>
  <c r="A1688" i="34"/>
  <c r="A1690" i="34"/>
  <c r="A1692" i="34"/>
  <c r="A1711" i="34"/>
  <c r="A1713" i="34"/>
  <c r="A1715" i="34"/>
  <c r="A1717" i="34"/>
  <c r="A1745" i="34"/>
  <c r="A1747" i="34"/>
  <c r="A1749" i="34"/>
  <c r="A1751" i="34"/>
  <c r="A1753" i="34"/>
  <c r="A1755" i="34"/>
  <c r="A2187" i="34"/>
  <c r="A2184" i="34"/>
  <c r="A2196" i="34"/>
  <c r="A2204" i="34"/>
  <c r="A2110" i="34"/>
  <c r="A2185" i="34"/>
  <c r="A2193" i="34"/>
  <c r="A2201" i="34"/>
  <c r="A2107" i="34"/>
  <c r="A2111" i="34"/>
  <c r="A2182" i="34"/>
  <c r="A2186" i="34"/>
  <c r="A2190" i="34"/>
  <c r="A2194" i="34"/>
  <c r="A2198" i="34"/>
  <c r="A2202" i="34"/>
  <c r="A2206" i="34"/>
  <c r="A2294" i="34"/>
  <c r="A2298" i="34"/>
  <c r="A2302" i="34"/>
  <c r="A2306" i="34"/>
  <c r="A2310" i="34"/>
  <c r="A2314" i="34"/>
  <c r="A2318" i="34"/>
  <c r="A2322" i="34"/>
  <c r="A2007" i="34"/>
  <c r="A2011" i="34"/>
  <c r="A2019" i="34"/>
  <c r="A2023" i="34"/>
  <c r="A2027" i="34"/>
  <c r="A2031" i="34"/>
  <c r="A2086" i="34"/>
  <c r="A2090" i="34"/>
  <c r="A2152" i="34"/>
  <c r="A2156" i="34"/>
  <c r="A2160" i="34"/>
  <c r="A2164" i="34"/>
  <c r="A2168" i="34"/>
  <c r="A2172" i="34"/>
  <c r="A2176" i="34"/>
  <c r="A1910" i="34"/>
  <c r="A1939" i="34"/>
  <c r="A1943" i="34"/>
  <c r="A1966" i="34"/>
  <c r="A1970" i="34"/>
  <c r="A1985" i="34"/>
  <c r="A1858" i="34"/>
  <c r="A1862" i="34"/>
  <c r="A1866" i="34"/>
  <c r="A1912" i="34"/>
  <c r="A1916" i="34"/>
  <c r="A1920" i="34"/>
  <c r="A1924" i="34"/>
  <c r="A1949" i="34"/>
  <c r="A1953" i="34"/>
  <c r="A1974" i="34"/>
  <c r="A1978" i="34"/>
  <c r="A1987" i="34"/>
  <c r="A2015" i="34"/>
  <c r="A2150" i="34"/>
  <c r="A2038" i="34"/>
  <c r="A2042" i="34"/>
  <c r="A2046" i="34"/>
  <c r="A2050" i="34"/>
  <c r="A2095" i="34"/>
  <c r="A2099" i="34"/>
  <c r="A2103" i="34"/>
  <c r="A1766" i="34"/>
  <c r="A1772" i="34"/>
  <c r="A1780" i="34"/>
  <c r="A1870" i="34"/>
  <c r="A1876" i="34"/>
  <c r="A1880" i="34"/>
  <c r="A1992" i="34"/>
  <c r="A1823" i="34"/>
  <c r="A1827" i="34"/>
  <c r="A1831" i="34"/>
  <c r="A1835" i="34"/>
  <c r="A1884" i="34"/>
  <c r="A1888" i="34"/>
  <c r="A1927" i="34"/>
  <c r="A1965" i="34"/>
  <c r="A1769" i="34"/>
  <c r="A1786" i="34"/>
  <c r="A1804" i="34"/>
  <c r="A1790" i="34"/>
  <c r="A1794" i="34"/>
  <c r="A1798" i="34"/>
  <c r="A1805" i="34"/>
  <c r="A1809" i="34"/>
  <c r="A1836" i="34"/>
  <c r="A1840" i="34"/>
  <c r="A1844" i="34"/>
  <c r="A1817" i="34"/>
  <c r="A1821" i="34"/>
  <c r="A1776" i="34"/>
  <c r="A1848" i="34"/>
  <c r="A1852" i="34"/>
  <c r="A1856" i="34"/>
  <c r="A1900" i="34"/>
  <c r="A1904" i="34"/>
  <c r="A1908" i="34"/>
  <c r="A2183" i="34"/>
  <c r="A2191" i="34"/>
  <c r="A2195" i="34"/>
  <c r="A2199" i="34"/>
  <c r="A2203" i="34"/>
  <c r="A2207" i="34"/>
  <c r="A2295" i="34"/>
  <c r="A2299" i="34"/>
  <c r="A2303" i="34"/>
  <c r="A2307" i="34"/>
  <c r="A2311" i="34"/>
  <c r="A2315" i="34"/>
  <c r="A2319" i="34"/>
  <c r="A2001" i="34"/>
  <c r="A2008" i="34"/>
  <c r="A2016" i="34"/>
  <c r="A2020" i="34"/>
  <c r="A2024" i="34"/>
  <c r="A2028" i="34"/>
  <c r="A2032" i="34"/>
  <c r="A2087" i="34"/>
  <c r="A2091" i="34"/>
  <c r="A2153" i="34"/>
  <c r="A2157" i="34"/>
  <c r="A2161" i="34"/>
  <c r="A2165" i="34"/>
  <c r="A2169" i="34"/>
  <c r="A2173" i="34"/>
  <c r="A2177" i="34"/>
  <c r="A1911" i="34"/>
  <c r="A1940" i="34"/>
  <c r="A1944" i="34"/>
  <c r="A1967" i="34"/>
  <c r="A1971" i="34"/>
  <c r="A1986" i="34"/>
  <c r="A1859" i="34"/>
  <c r="A1863" i="34"/>
  <c r="A1867" i="34"/>
  <c r="A1913" i="34"/>
  <c r="A1917" i="34"/>
  <c r="A1921" i="34"/>
  <c r="A1925" i="34"/>
  <c r="A1950" i="34"/>
  <c r="A1954" i="34"/>
  <c r="A1975" i="34"/>
  <c r="A1979" i="34"/>
  <c r="A1988" i="34"/>
  <c r="A2034" i="34"/>
  <c r="A2151" i="34"/>
  <c r="A2039" i="34"/>
  <c r="A2043" i="34"/>
  <c r="A2047" i="34"/>
  <c r="A2051" i="34"/>
  <c r="A2096" i="34"/>
  <c r="A2100" i="34"/>
  <c r="A2104" i="34"/>
  <c r="A1993" i="34"/>
  <c r="A1773" i="34"/>
  <c r="A1781" i="34"/>
  <c r="A1871" i="34"/>
  <c r="A1877" i="34"/>
  <c r="A1989" i="34"/>
  <c r="A1996" i="34"/>
  <c r="A1824" i="34"/>
  <c r="A1828" i="34"/>
  <c r="A1832" i="34"/>
  <c r="A1881" i="34"/>
  <c r="A1885" i="34"/>
  <c r="A1889" i="34"/>
  <c r="A1935" i="34"/>
  <c r="A1982" i="34"/>
  <c r="A1770" i="34"/>
  <c r="A1774" i="34"/>
  <c r="A1787" i="34"/>
  <c r="A1791" i="34"/>
  <c r="A1795" i="34"/>
  <c r="A1799" i="34"/>
  <c r="A1806" i="34"/>
  <c r="A1810" i="34"/>
  <c r="A1837" i="34"/>
  <c r="A1841" i="34"/>
  <c r="A1845" i="34"/>
  <c r="A1818" i="34"/>
  <c r="A1822" i="34"/>
  <c r="A1813" i="34"/>
  <c r="A1849" i="34"/>
  <c r="A1853" i="34"/>
  <c r="A1857" i="34"/>
  <c r="A1901" i="34"/>
  <c r="A1905" i="34"/>
  <c r="A1459" i="34"/>
  <c r="A1461" i="34"/>
  <c r="A1463" i="34"/>
  <c r="A1495" i="34"/>
  <c r="A1497" i="34"/>
  <c r="A1499" i="34"/>
  <c r="A1501" i="34"/>
  <c r="A1503" i="34"/>
  <c r="A1505" i="34"/>
  <c r="A1507" i="34"/>
  <c r="A1509" i="34"/>
  <c r="A1526" i="34"/>
  <c r="A1528" i="34"/>
  <c r="A1530" i="34"/>
  <c r="A1563" i="34"/>
  <c r="A1599" i="34"/>
  <c r="A1601" i="34"/>
  <c r="A1603" i="34"/>
  <c r="A1605" i="34"/>
  <c r="A1656" i="34"/>
  <c r="A1658" i="34"/>
  <c r="A1660" i="34"/>
  <c r="A1662" i="34"/>
  <c r="A1664" i="34"/>
  <c r="A1687" i="34"/>
  <c r="A1689" i="34"/>
  <c r="A1691" i="34"/>
  <c r="A1693" i="34"/>
  <c r="A1712" i="34"/>
  <c r="A1714" i="34"/>
  <c r="A1716" i="34"/>
  <c r="A1718" i="34"/>
  <c r="A1746" i="34"/>
  <c r="A1748" i="34"/>
  <c r="A1750" i="34"/>
  <c r="A1752" i="34"/>
  <c r="A1754" i="34"/>
  <c r="A2108" i="34"/>
  <c r="A2109" i="34"/>
  <c r="A2188" i="34"/>
  <c r="A2200" i="34"/>
  <c r="A2292" i="34"/>
  <c r="A2296" i="34"/>
  <c r="A2300" i="34"/>
  <c r="A2304" i="34"/>
  <c r="A2308" i="34"/>
  <c r="A2312" i="34"/>
  <c r="A2316" i="34"/>
  <c r="A2320" i="34"/>
  <c r="A2002" i="34"/>
  <c r="A2005" i="34"/>
  <c r="A2009" i="34"/>
  <c r="A2017" i="34"/>
  <c r="A2021" i="34"/>
  <c r="A2025" i="34"/>
  <c r="A2029" i="34"/>
  <c r="A2033" i="34"/>
  <c r="A2088" i="34"/>
  <c r="A2092" i="34"/>
  <c r="A2154" i="34"/>
  <c r="A2158" i="34"/>
  <c r="A2162" i="34"/>
  <c r="A2166" i="34"/>
  <c r="A2170" i="34"/>
  <c r="A2174" i="34"/>
  <c r="A2178" i="34"/>
  <c r="A1937" i="34"/>
  <c r="A1941" i="34"/>
  <c r="A1945" i="34"/>
  <c r="A1968" i="34"/>
  <c r="A1972" i="34"/>
  <c r="A1777" i="34"/>
  <c r="A1860" i="34"/>
  <c r="A1864" i="34"/>
  <c r="A1868" i="34"/>
  <c r="A1914" i="34"/>
  <c r="A1918" i="34"/>
  <c r="A1922" i="34"/>
  <c r="A1947" i="34"/>
  <c r="A1951" i="34"/>
  <c r="A1955" i="34"/>
  <c r="A1976" i="34"/>
  <c r="A1980" i="34"/>
  <c r="A2000" i="34"/>
  <c r="A2035" i="34"/>
  <c r="A2179" i="34"/>
  <c r="A2036" i="34"/>
  <c r="A2040" i="34"/>
  <c r="A2044" i="34"/>
  <c r="A2048" i="34"/>
  <c r="A2052" i="34"/>
  <c r="A2097" i="34"/>
  <c r="A2101" i="34"/>
  <c r="A2105" i="34"/>
  <c r="A1995" i="34"/>
  <c r="A1778" i="34"/>
  <c r="A1782" i="34"/>
  <c r="A1872" i="34"/>
  <c r="A1878" i="34"/>
  <c r="A1990" i="34"/>
  <c r="A1997" i="34"/>
  <c r="A1825" i="34"/>
  <c r="A1829" i="34"/>
  <c r="A1833" i="34"/>
  <c r="A1882" i="34"/>
  <c r="A1886" i="34"/>
  <c r="A1890" i="34"/>
  <c r="A1963" i="34"/>
  <c r="A1983" i="34"/>
  <c r="A1784" i="34"/>
  <c r="A1775" i="34"/>
  <c r="A1788" i="34"/>
  <c r="A1792" i="34"/>
  <c r="A1796" i="34"/>
  <c r="A1800" i="34"/>
  <c r="A1807" i="34"/>
  <c r="A1811" i="34"/>
  <c r="A1838" i="34"/>
  <c r="A1842" i="34"/>
  <c r="A1815" i="34"/>
  <c r="A1819" i="34"/>
  <c r="A1896" i="34"/>
  <c r="A1846" i="34"/>
  <c r="A1850" i="34"/>
  <c r="A1854" i="34"/>
  <c r="A1898" i="34"/>
  <c r="A1902" i="34"/>
  <c r="A1906" i="34"/>
  <c r="B953" i="34" l="1"/>
  <c r="B916" i="34"/>
  <c r="B915" i="34"/>
  <c r="B914" i="34"/>
  <c r="B910" i="34"/>
  <c r="B909" i="34"/>
  <c r="B908" i="34"/>
  <c r="B907" i="34"/>
  <c r="B906" i="34"/>
  <c r="B904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541" i="34"/>
  <c r="B540" i="34"/>
  <c r="B532" i="34"/>
  <c r="B531" i="34"/>
  <c r="B530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1054" i="34"/>
  <c r="B1047" i="34"/>
  <c r="B1048" i="34"/>
  <c r="B1049" i="34"/>
  <c r="B1060" i="34"/>
  <c r="B1061" i="34"/>
  <c r="B1062" i="34"/>
  <c r="B1063" i="34"/>
  <c r="B1050" i="34"/>
  <c r="B1051" i="34"/>
  <c r="B1055" i="34"/>
  <c r="B1056" i="34"/>
  <c r="B1064" i="34"/>
  <c r="B1065" i="34"/>
  <c r="B1079" i="34"/>
  <c r="B960" i="34"/>
  <c r="B961" i="34"/>
  <c r="B962" i="34"/>
  <c r="B963" i="34"/>
  <c r="B964" i="34"/>
  <c r="B965" i="34"/>
  <c r="B966" i="34"/>
  <c r="B1107" i="34"/>
  <c r="B1108" i="34"/>
  <c r="B1109" i="34"/>
  <c r="B1110" i="34"/>
  <c r="B1111" i="34"/>
  <c r="B1117" i="34"/>
  <c r="B1118" i="34"/>
  <c r="B1121" i="34"/>
  <c r="B1122" i="34"/>
  <c r="B1123" i="34"/>
  <c r="B1223" i="34"/>
  <c r="B1224" i="34"/>
  <c r="B1225" i="34"/>
  <c r="B1227" i="34"/>
  <c r="B1229" i="34"/>
  <c r="B1230" i="34"/>
  <c r="B937" i="34"/>
  <c r="B938" i="34"/>
  <c r="B939" i="34"/>
  <c r="B940" i="34"/>
  <c r="B942" i="34"/>
  <c r="B946" i="34"/>
  <c r="B948" i="34"/>
  <c r="B949" i="34"/>
  <c r="B982" i="34"/>
  <c r="B984" i="34"/>
  <c r="B985" i="34"/>
  <c r="B986" i="34"/>
  <c r="B987" i="34"/>
  <c r="B988" i="34"/>
  <c r="B990" i="34"/>
  <c r="B991" i="34"/>
  <c r="B1259" i="34"/>
  <c r="B1260" i="34"/>
  <c r="B1262" i="34"/>
  <c r="B1264" i="34"/>
  <c r="B1265" i="34"/>
  <c r="B1293" i="34"/>
  <c r="B1294" i="34"/>
  <c r="B1295" i="34"/>
  <c r="B1318" i="34"/>
  <c r="B1674" i="34"/>
  <c r="B1675" i="34"/>
  <c r="B1676" i="34"/>
  <c r="B1053" i="34"/>
  <c r="B1233" i="34"/>
  <c r="B1232" i="34"/>
  <c r="B1176" i="34"/>
  <c r="B1174" i="34"/>
  <c r="B1169" i="34"/>
  <c r="B1167" i="34"/>
  <c r="B1143" i="34"/>
  <c r="B1142" i="34"/>
  <c r="B1125" i="34"/>
  <c r="B1124" i="34"/>
  <c r="B1677" i="34"/>
  <c r="B978" i="34"/>
  <c r="B977" i="34"/>
  <c r="B944" i="34"/>
  <c r="B943" i="34"/>
  <c r="B1038" i="34"/>
  <c r="B1037" i="34"/>
  <c r="B1036" i="34"/>
  <c r="B1035" i="34"/>
  <c r="B1033" i="34"/>
  <c r="B1032" i="34"/>
  <c r="B1031" i="34"/>
  <c r="B1030" i="34"/>
  <c r="B999" i="34"/>
  <c r="B998" i="34"/>
  <c r="B997" i="34"/>
  <c r="B996" i="34"/>
  <c r="B995" i="34"/>
  <c r="B994" i="34"/>
  <c r="B993" i="34"/>
  <c r="B992" i="34"/>
  <c r="B1155" i="34"/>
  <c r="B1153" i="34"/>
  <c r="B1146" i="34"/>
  <c r="B1144" i="34"/>
  <c r="B1119" i="34"/>
  <c r="B1235" i="34"/>
  <c r="B1322" i="34"/>
  <c r="B1321" i="34"/>
  <c r="B1320" i="34"/>
  <c r="B1319" i="34"/>
  <c r="B1303" i="34"/>
  <c r="B1302" i="34"/>
  <c r="B1301" i="34"/>
  <c r="B1300" i="34"/>
  <c r="B1299" i="34"/>
  <c r="B1298" i="34"/>
  <c r="B1296" i="34"/>
  <c r="B1273" i="34"/>
  <c r="B1272" i="34"/>
  <c r="B1271" i="34"/>
  <c r="B1270" i="34"/>
  <c r="B1269" i="34"/>
  <c r="B1268" i="34"/>
  <c r="B1267" i="34"/>
  <c r="B1266" i="34"/>
  <c r="B913" i="34"/>
  <c r="B912" i="34"/>
  <c r="B979" i="34"/>
  <c r="B1737" i="34"/>
  <c r="B1736" i="34"/>
  <c r="B1735" i="34"/>
  <c r="B1734" i="34"/>
  <c r="B1710" i="34"/>
  <c r="B1709" i="34"/>
  <c r="B1708" i="34"/>
  <c r="B1707" i="34"/>
  <c r="B1706" i="34"/>
  <c r="B1705" i="34"/>
  <c r="B1704" i="34"/>
  <c r="B1703" i="34"/>
  <c r="B1685" i="34"/>
  <c r="B1684" i="34"/>
  <c r="B1683" i="34"/>
  <c r="B1682" i="34"/>
  <c r="B1681" i="34"/>
  <c r="B1680" i="34"/>
  <c r="B1679" i="34"/>
  <c r="B1678" i="34"/>
  <c r="B1655" i="34"/>
  <c r="B1654" i="34"/>
  <c r="B1653" i="34"/>
  <c r="B1652" i="34"/>
  <c r="B1651" i="34"/>
  <c r="B1650" i="34"/>
  <c r="B2271" i="34"/>
  <c r="B2216" i="34"/>
  <c r="B2215" i="34"/>
  <c r="B2214" i="34"/>
  <c r="B2213" i="34"/>
  <c r="B2212" i="34"/>
  <c r="B2211" i="34"/>
  <c r="B2210" i="34"/>
  <c r="B2209" i="34"/>
  <c r="B2208" i="34"/>
  <c r="B1202" i="34"/>
  <c r="B1201" i="34"/>
  <c r="B1190" i="34"/>
  <c r="B1188" i="34"/>
  <c r="B1185" i="34"/>
  <c r="B1183" i="34"/>
  <c r="B1077" i="34"/>
  <c r="B1076" i="34"/>
  <c r="B1029" i="34"/>
  <c r="B959" i="34"/>
  <c r="B1744" i="34"/>
  <c r="B1743" i="34"/>
  <c r="B1742" i="34"/>
  <c r="B1741" i="34"/>
  <c r="B1740" i="34"/>
  <c r="B1739" i="34"/>
  <c r="B1738" i="34"/>
  <c r="B2004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013" i="34"/>
  <c r="B1768" i="34"/>
  <c r="B1783" i="34"/>
  <c r="B1999" i="34"/>
  <c r="B1767" i="34"/>
  <c r="AA2272" i="34" l="1"/>
  <c r="P2272" i="34"/>
  <c r="X2272" i="34"/>
  <c r="Q2272" i="34"/>
  <c r="R2272" i="34"/>
  <c r="V2272" i="34"/>
  <c r="AA2288" i="34"/>
  <c r="P2288" i="34"/>
  <c r="X2288" i="34"/>
  <c r="Q2288" i="34"/>
  <c r="R2288" i="34"/>
  <c r="V2288" i="34"/>
  <c r="Q2277" i="34"/>
  <c r="R2277" i="34"/>
  <c r="V2277" i="34"/>
  <c r="AA2277" i="34"/>
  <c r="P2277" i="34"/>
  <c r="X2277" i="34"/>
  <c r="Q2285" i="34"/>
  <c r="R2285" i="34"/>
  <c r="V2285" i="34"/>
  <c r="AA2285" i="34"/>
  <c r="P2285" i="34"/>
  <c r="X2285" i="34"/>
  <c r="Q1742" i="34"/>
  <c r="R1742" i="34"/>
  <c r="V1742" i="34"/>
  <c r="AA1742" i="34"/>
  <c r="P1742" i="34"/>
  <c r="X1742" i="34"/>
  <c r="AA1767" i="34"/>
  <c r="P1767" i="34"/>
  <c r="X1767" i="34"/>
  <c r="Q1767" i="34"/>
  <c r="R1767" i="34"/>
  <c r="V1767" i="34"/>
  <c r="Q2013" i="34"/>
  <c r="R2013" i="34"/>
  <c r="V2013" i="34"/>
  <c r="AA2013" i="34"/>
  <c r="P2013" i="34"/>
  <c r="X2013" i="34"/>
  <c r="Q2275" i="34"/>
  <c r="R2275" i="34"/>
  <c r="V2275" i="34"/>
  <c r="AA2275" i="34"/>
  <c r="P2275" i="34"/>
  <c r="X2275" i="34"/>
  <c r="Q2279" i="34"/>
  <c r="R2279" i="34"/>
  <c r="V2279" i="34"/>
  <c r="AA2279" i="34"/>
  <c r="P2279" i="34"/>
  <c r="X2279" i="34"/>
  <c r="Q2283" i="34"/>
  <c r="R2283" i="34"/>
  <c r="V2283" i="34"/>
  <c r="AA2283" i="34"/>
  <c r="P2283" i="34"/>
  <c r="X2283" i="34"/>
  <c r="Q2287" i="34"/>
  <c r="R2287" i="34"/>
  <c r="V2287" i="34"/>
  <c r="AA2287" i="34"/>
  <c r="P2287" i="34"/>
  <c r="X2287" i="34"/>
  <c r="Q2291" i="34"/>
  <c r="R2291" i="34"/>
  <c r="V2291" i="34"/>
  <c r="AA2291" i="34"/>
  <c r="P2291" i="34"/>
  <c r="X2291" i="34"/>
  <c r="Q1740" i="34"/>
  <c r="R1740" i="34"/>
  <c r="V1740" i="34"/>
  <c r="AA1740" i="34"/>
  <c r="P1740" i="34"/>
  <c r="X1740" i="34"/>
  <c r="Q1744" i="34"/>
  <c r="R1744" i="34"/>
  <c r="V1744" i="34"/>
  <c r="AA1744" i="34"/>
  <c r="P1744" i="34"/>
  <c r="X1744" i="34"/>
  <c r="AA1077" i="34"/>
  <c r="P1077" i="34"/>
  <c r="X1077" i="34"/>
  <c r="Q1077" i="34"/>
  <c r="R1077" i="34"/>
  <c r="V1077" i="34"/>
  <c r="Q1190" i="34"/>
  <c r="R1190" i="34"/>
  <c r="V1190" i="34"/>
  <c r="AA1190" i="34"/>
  <c r="P1190" i="34"/>
  <c r="X1190" i="34"/>
  <c r="Q2209" i="34"/>
  <c r="R2209" i="34"/>
  <c r="V2209" i="34"/>
  <c r="AA2209" i="34"/>
  <c r="P2209" i="34"/>
  <c r="X2209" i="34"/>
  <c r="Q2213" i="34"/>
  <c r="R2213" i="34"/>
  <c r="V2213" i="34"/>
  <c r="AA2213" i="34"/>
  <c r="P2213" i="34"/>
  <c r="X2213" i="34"/>
  <c r="Q2271" i="34"/>
  <c r="R2271" i="34"/>
  <c r="V2271" i="34"/>
  <c r="AA2271" i="34"/>
  <c r="P2271" i="34"/>
  <c r="X2271" i="34"/>
  <c r="AA1653" i="34"/>
  <c r="P1653" i="34"/>
  <c r="X1653" i="34"/>
  <c r="Q1653" i="34"/>
  <c r="R1653" i="34"/>
  <c r="V1653" i="34"/>
  <c r="AA1679" i="34"/>
  <c r="P1679" i="34"/>
  <c r="X1679" i="34"/>
  <c r="Q1679" i="34"/>
  <c r="R1679" i="34"/>
  <c r="V1679" i="34"/>
  <c r="AA1683" i="34"/>
  <c r="P1683" i="34"/>
  <c r="X1683" i="34"/>
  <c r="Q1683" i="34"/>
  <c r="R1683" i="34"/>
  <c r="V1683" i="34"/>
  <c r="Q1704" i="34"/>
  <c r="R1704" i="34"/>
  <c r="V1704" i="34"/>
  <c r="AA1704" i="34"/>
  <c r="P1704" i="34"/>
  <c r="X1704" i="34"/>
  <c r="Q1708" i="34"/>
  <c r="R1708" i="34"/>
  <c r="V1708" i="34"/>
  <c r="AA1708" i="34"/>
  <c r="P1708" i="34"/>
  <c r="X1708" i="34"/>
  <c r="AA1735" i="34"/>
  <c r="P1735" i="34"/>
  <c r="X1735" i="34"/>
  <c r="Q1735" i="34"/>
  <c r="R1735" i="34"/>
  <c r="V1735" i="34"/>
  <c r="Q912" i="34"/>
  <c r="R912" i="34"/>
  <c r="V912" i="34"/>
  <c r="AA912" i="34"/>
  <c r="P912" i="34"/>
  <c r="X912" i="34"/>
  <c r="Q1268" i="34"/>
  <c r="U1268" i="34"/>
  <c r="R1268" i="34"/>
  <c r="V1268" i="34"/>
  <c r="S1268" i="34"/>
  <c r="AA1268" i="34"/>
  <c r="P1268" i="34"/>
  <c r="T1268" i="34"/>
  <c r="X1268" i="34"/>
  <c r="Q1272" i="34"/>
  <c r="U1272" i="34"/>
  <c r="R1272" i="34"/>
  <c r="V1272" i="34"/>
  <c r="S1272" i="34"/>
  <c r="AA1272" i="34"/>
  <c r="P1272" i="34"/>
  <c r="T1272" i="34"/>
  <c r="X1272" i="34"/>
  <c r="S1299" i="34"/>
  <c r="AA1299" i="34"/>
  <c r="P1299" i="34"/>
  <c r="T1299" i="34"/>
  <c r="X1299" i="34"/>
  <c r="Q1299" i="34"/>
  <c r="U1299" i="34"/>
  <c r="R1299" i="34"/>
  <c r="V1299" i="34"/>
  <c r="S1303" i="34"/>
  <c r="AA1303" i="34"/>
  <c r="P1303" i="34"/>
  <c r="T1303" i="34"/>
  <c r="X1303" i="34"/>
  <c r="Q1303" i="34"/>
  <c r="U1303" i="34"/>
  <c r="R1303" i="34"/>
  <c r="V1303" i="34"/>
  <c r="Q1322" i="34"/>
  <c r="R1322" i="34"/>
  <c r="V1322" i="34"/>
  <c r="AA1322" i="34"/>
  <c r="P1322" i="34"/>
  <c r="X1322" i="34"/>
  <c r="Q1146" i="34"/>
  <c r="R1146" i="34"/>
  <c r="V1146" i="34"/>
  <c r="AA1146" i="34"/>
  <c r="P1146" i="34"/>
  <c r="X1146" i="34"/>
  <c r="AA993" i="34"/>
  <c r="P993" i="34"/>
  <c r="X993" i="34"/>
  <c r="Q993" i="34"/>
  <c r="R993" i="34"/>
  <c r="V993" i="34"/>
  <c r="AA997" i="34"/>
  <c r="P997" i="34"/>
  <c r="X997" i="34"/>
  <c r="Q997" i="34"/>
  <c r="R997" i="34"/>
  <c r="V997" i="34"/>
  <c r="P1031" i="34"/>
  <c r="X1031" i="34"/>
  <c r="R1031" i="34"/>
  <c r="V1031" i="34"/>
  <c r="AA1031" i="34"/>
  <c r="Q1031" i="34"/>
  <c r="R1036" i="34"/>
  <c r="V1036" i="34"/>
  <c r="P1036" i="34"/>
  <c r="X1036" i="34"/>
  <c r="Q1036" i="34"/>
  <c r="AA1036" i="34"/>
  <c r="Q944" i="34"/>
  <c r="R944" i="34"/>
  <c r="V944" i="34"/>
  <c r="AA944" i="34"/>
  <c r="P944" i="34"/>
  <c r="X944" i="34"/>
  <c r="Q1124" i="34"/>
  <c r="R1124" i="34"/>
  <c r="V1124" i="34"/>
  <c r="AA1124" i="34"/>
  <c r="P1124" i="34"/>
  <c r="X1124" i="34"/>
  <c r="AA1167" i="34"/>
  <c r="P1167" i="34"/>
  <c r="X1167" i="34"/>
  <c r="Q1167" i="34"/>
  <c r="R1167" i="34"/>
  <c r="V1167" i="34"/>
  <c r="Q1232" i="34"/>
  <c r="R1232" i="34"/>
  <c r="V1232" i="34"/>
  <c r="AA1232" i="34"/>
  <c r="P1232" i="34"/>
  <c r="X1232" i="34"/>
  <c r="AA1675" i="34"/>
  <c r="P1675" i="34"/>
  <c r="X1675" i="34"/>
  <c r="Q1675" i="34"/>
  <c r="R1675" i="34"/>
  <c r="V1675" i="34"/>
  <c r="Q1294" i="34"/>
  <c r="U1294" i="34"/>
  <c r="R1294" i="34"/>
  <c r="V1294" i="34"/>
  <c r="S1294" i="34"/>
  <c r="AA1294" i="34"/>
  <c r="P1294" i="34"/>
  <c r="T1294" i="34"/>
  <c r="X1294" i="34"/>
  <c r="Q1262" i="34"/>
  <c r="U1262" i="34"/>
  <c r="R1262" i="34"/>
  <c r="V1262" i="34"/>
  <c r="S1262" i="34"/>
  <c r="AA1262" i="34"/>
  <c r="P1262" i="34"/>
  <c r="T1262" i="34"/>
  <c r="X1262" i="34"/>
  <c r="Q990" i="34"/>
  <c r="R990" i="34"/>
  <c r="V990" i="34"/>
  <c r="AA990" i="34"/>
  <c r="P990" i="34"/>
  <c r="X990" i="34"/>
  <c r="AA985" i="34"/>
  <c r="P985" i="34"/>
  <c r="X985" i="34"/>
  <c r="Q985" i="34"/>
  <c r="R985" i="34"/>
  <c r="V985" i="34"/>
  <c r="Q948" i="34"/>
  <c r="R948" i="34"/>
  <c r="V948" i="34"/>
  <c r="AA948" i="34"/>
  <c r="P948" i="34"/>
  <c r="X948" i="34"/>
  <c r="AA939" i="34"/>
  <c r="P939" i="34"/>
  <c r="X939" i="34"/>
  <c r="Q939" i="34"/>
  <c r="R939" i="34"/>
  <c r="V939" i="34"/>
  <c r="AA1229" i="34"/>
  <c r="P1229" i="34"/>
  <c r="X1229" i="34"/>
  <c r="Q1229" i="34"/>
  <c r="R1229" i="34"/>
  <c r="V1229" i="34"/>
  <c r="AA1223" i="34"/>
  <c r="P1223" i="34"/>
  <c r="X1223" i="34"/>
  <c r="Q1223" i="34"/>
  <c r="R1223" i="34"/>
  <c r="V1223" i="34"/>
  <c r="Q1118" i="34"/>
  <c r="R1118" i="34"/>
  <c r="V1118" i="34"/>
  <c r="AA1118" i="34"/>
  <c r="P1118" i="34"/>
  <c r="X1118" i="34"/>
  <c r="AA1109" i="34"/>
  <c r="P1109" i="34"/>
  <c r="X1109" i="34"/>
  <c r="Q1109" i="34"/>
  <c r="R1109" i="34"/>
  <c r="V1109" i="34"/>
  <c r="AA965" i="34"/>
  <c r="P965" i="34"/>
  <c r="X965" i="34"/>
  <c r="Q965" i="34"/>
  <c r="R965" i="34"/>
  <c r="V965" i="34"/>
  <c r="AA961" i="34"/>
  <c r="P961" i="34"/>
  <c r="X961" i="34"/>
  <c r="Q961" i="34"/>
  <c r="R961" i="34"/>
  <c r="V961" i="34"/>
  <c r="Q1064" i="34"/>
  <c r="R1064" i="34"/>
  <c r="V1064" i="34"/>
  <c r="AA1064" i="34"/>
  <c r="P1064" i="34"/>
  <c r="X1064" i="34"/>
  <c r="Q1050" i="34"/>
  <c r="R1050" i="34"/>
  <c r="V1050" i="34"/>
  <c r="AA1050" i="34"/>
  <c r="P1050" i="34"/>
  <c r="X1050" i="34"/>
  <c r="Q1060" i="34"/>
  <c r="R1060" i="34"/>
  <c r="V1060" i="34"/>
  <c r="AA1060" i="34"/>
  <c r="P1060" i="34"/>
  <c r="X1060" i="34"/>
  <c r="Q1054" i="34"/>
  <c r="R1054" i="34"/>
  <c r="V1054" i="34"/>
  <c r="AA1054" i="34"/>
  <c r="P1054" i="34"/>
  <c r="X1054" i="34"/>
  <c r="Q312" i="34"/>
  <c r="R312" i="34"/>
  <c r="V312" i="34"/>
  <c r="AA312" i="34"/>
  <c r="P312" i="34"/>
  <c r="X312" i="34"/>
  <c r="Q316" i="34"/>
  <c r="R316" i="34"/>
  <c r="V316" i="34"/>
  <c r="AA316" i="34"/>
  <c r="P316" i="34"/>
  <c r="X316" i="34"/>
  <c r="Q320" i="34"/>
  <c r="R320" i="34"/>
  <c r="V320" i="34"/>
  <c r="AA320" i="34"/>
  <c r="P320" i="34"/>
  <c r="X320" i="34"/>
  <c r="Q324" i="34"/>
  <c r="R324" i="34"/>
  <c r="V324" i="34"/>
  <c r="P324" i="34"/>
  <c r="X324" i="34"/>
  <c r="AA324" i="34"/>
  <c r="Q328" i="34"/>
  <c r="R328" i="34"/>
  <c r="V328" i="34"/>
  <c r="P328" i="34"/>
  <c r="X328" i="34"/>
  <c r="AA328" i="34"/>
  <c r="Q332" i="34"/>
  <c r="R332" i="34"/>
  <c r="V332" i="34"/>
  <c r="P332" i="34"/>
  <c r="X332" i="34"/>
  <c r="AA332" i="34"/>
  <c r="R336" i="34"/>
  <c r="V336" i="34"/>
  <c r="P336" i="34"/>
  <c r="X336" i="34"/>
  <c r="AA336" i="34"/>
  <c r="Q336" i="34"/>
  <c r="R340" i="34"/>
  <c r="V340" i="34"/>
  <c r="P340" i="34"/>
  <c r="X340" i="34"/>
  <c r="AA340" i="34"/>
  <c r="Q340" i="34"/>
  <c r="AA431" i="34"/>
  <c r="P431" i="34"/>
  <c r="X431" i="34"/>
  <c r="Q431" i="34"/>
  <c r="R431" i="34"/>
  <c r="V431" i="34"/>
  <c r="AA435" i="34"/>
  <c r="P435" i="34"/>
  <c r="X435" i="34"/>
  <c r="Q435" i="34"/>
  <c r="R435" i="34"/>
  <c r="V435" i="34"/>
  <c r="AA439" i="34"/>
  <c r="P439" i="34"/>
  <c r="X439" i="34"/>
  <c r="Q439" i="34"/>
  <c r="R439" i="34"/>
  <c r="V439" i="34"/>
  <c r="AA443" i="34"/>
  <c r="P443" i="34"/>
  <c r="X443" i="34"/>
  <c r="Q443" i="34"/>
  <c r="R443" i="34"/>
  <c r="V443" i="34"/>
  <c r="AA447" i="34"/>
  <c r="P447" i="34"/>
  <c r="X447" i="34"/>
  <c r="Q447" i="34"/>
  <c r="R447" i="34"/>
  <c r="V447" i="34"/>
  <c r="P451" i="34"/>
  <c r="X451" i="34"/>
  <c r="Q451" i="34"/>
  <c r="R451" i="34"/>
  <c r="V451" i="34"/>
  <c r="AA451" i="34"/>
  <c r="P455" i="34"/>
  <c r="X455" i="34"/>
  <c r="Q455" i="34"/>
  <c r="R455" i="34"/>
  <c r="V455" i="34"/>
  <c r="AA455" i="34"/>
  <c r="P459" i="34"/>
  <c r="X459" i="34"/>
  <c r="Q459" i="34"/>
  <c r="R459" i="34"/>
  <c r="V459" i="34"/>
  <c r="AA459" i="34"/>
  <c r="P463" i="34"/>
  <c r="X463" i="34"/>
  <c r="Q463" i="34"/>
  <c r="R463" i="34"/>
  <c r="V463" i="34"/>
  <c r="AA463" i="34"/>
  <c r="P467" i="34"/>
  <c r="X467" i="34"/>
  <c r="Q467" i="34"/>
  <c r="R467" i="34"/>
  <c r="V467" i="34"/>
  <c r="AA467" i="34"/>
  <c r="R532" i="34"/>
  <c r="V532" i="34"/>
  <c r="AA532" i="34"/>
  <c r="P532" i="34"/>
  <c r="X532" i="34"/>
  <c r="Q532" i="34"/>
  <c r="AA845" i="34"/>
  <c r="P845" i="34"/>
  <c r="X845" i="34"/>
  <c r="Q845" i="34"/>
  <c r="R845" i="34"/>
  <c r="V845" i="34"/>
  <c r="AA849" i="34"/>
  <c r="P849" i="34"/>
  <c r="X849" i="34"/>
  <c r="Q849" i="34"/>
  <c r="R849" i="34"/>
  <c r="V849" i="34"/>
  <c r="AA853" i="34"/>
  <c r="P853" i="34"/>
  <c r="X853" i="34"/>
  <c r="Q853" i="34"/>
  <c r="R853" i="34"/>
  <c r="V853" i="34"/>
  <c r="AA857" i="34"/>
  <c r="P857" i="34"/>
  <c r="X857" i="34"/>
  <c r="R857" i="34"/>
  <c r="V857" i="34"/>
  <c r="Q857" i="34"/>
  <c r="AA861" i="34"/>
  <c r="P861" i="34"/>
  <c r="X861" i="34"/>
  <c r="R861" i="34"/>
  <c r="V861" i="34"/>
  <c r="Q861" i="34"/>
  <c r="R865" i="34"/>
  <c r="V865" i="34"/>
  <c r="P865" i="34"/>
  <c r="Q865" i="34"/>
  <c r="AA865" i="34"/>
  <c r="X865" i="34"/>
  <c r="R869" i="34"/>
  <c r="V869" i="34"/>
  <c r="P869" i="34"/>
  <c r="Q869" i="34"/>
  <c r="AA869" i="34"/>
  <c r="X869" i="34"/>
  <c r="R873" i="34"/>
  <c r="V873" i="34"/>
  <c r="P873" i="34"/>
  <c r="Q873" i="34"/>
  <c r="AA873" i="34"/>
  <c r="X873" i="34"/>
  <c r="AA877" i="34"/>
  <c r="P877" i="34"/>
  <c r="X877" i="34"/>
  <c r="Q877" i="34"/>
  <c r="R877" i="34"/>
  <c r="V877" i="34"/>
  <c r="AA881" i="34"/>
  <c r="P881" i="34"/>
  <c r="X881" i="34"/>
  <c r="Q881" i="34"/>
  <c r="R881" i="34"/>
  <c r="V881" i="34"/>
  <c r="AA885" i="34"/>
  <c r="P885" i="34"/>
  <c r="X885" i="34"/>
  <c r="Q885" i="34"/>
  <c r="R885" i="34"/>
  <c r="V885" i="34"/>
  <c r="AA889" i="34"/>
  <c r="P889" i="34"/>
  <c r="X889" i="34"/>
  <c r="Q889" i="34"/>
  <c r="R889" i="34"/>
  <c r="V889" i="34"/>
  <c r="AA893" i="34"/>
  <c r="P893" i="34"/>
  <c r="X893" i="34"/>
  <c r="Q893" i="34"/>
  <c r="R893" i="34"/>
  <c r="V893" i="34"/>
  <c r="AA897" i="34"/>
  <c r="P897" i="34"/>
  <c r="X897" i="34"/>
  <c r="Q897" i="34"/>
  <c r="R897" i="34"/>
  <c r="V897" i="34"/>
  <c r="AA901" i="34"/>
  <c r="P901" i="34"/>
  <c r="X901" i="34"/>
  <c r="Q901" i="34"/>
  <c r="R901" i="34"/>
  <c r="V901" i="34"/>
  <c r="AA907" i="34"/>
  <c r="P907" i="34"/>
  <c r="X907" i="34"/>
  <c r="Q907" i="34"/>
  <c r="R907" i="34"/>
  <c r="V907" i="34"/>
  <c r="Q914" i="34"/>
  <c r="R914" i="34"/>
  <c r="V914" i="34"/>
  <c r="AA914" i="34"/>
  <c r="P914" i="34"/>
  <c r="X914" i="34"/>
  <c r="Q1999" i="34"/>
  <c r="R1999" i="34"/>
  <c r="V1999" i="34"/>
  <c r="AA1999" i="34"/>
  <c r="P1999" i="34"/>
  <c r="X1999" i="34"/>
  <c r="AA2284" i="34"/>
  <c r="P2284" i="34"/>
  <c r="X2284" i="34"/>
  <c r="Q2284" i="34"/>
  <c r="R2284" i="34"/>
  <c r="V2284" i="34"/>
  <c r="AA2004" i="34"/>
  <c r="P2004" i="34"/>
  <c r="X2004" i="34"/>
  <c r="Q2004" i="34"/>
  <c r="R2004" i="34"/>
  <c r="V2004" i="34"/>
  <c r="AA1741" i="34"/>
  <c r="P1741" i="34"/>
  <c r="X1741" i="34"/>
  <c r="Q1741" i="34"/>
  <c r="R1741" i="34"/>
  <c r="V1741" i="34"/>
  <c r="AA959" i="34"/>
  <c r="P959" i="34"/>
  <c r="X959" i="34"/>
  <c r="Q959" i="34"/>
  <c r="R959" i="34"/>
  <c r="V959" i="34"/>
  <c r="AA1183" i="34"/>
  <c r="P1183" i="34"/>
  <c r="X1183" i="34"/>
  <c r="Q1183" i="34"/>
  <c r="R1183" i="34"/>
  <c r="V1183" i="34"/>
  <c r="AA1201" i="34"/>
  <c r="P1201" i="34"/>
  <c r="X1201" i="34"/>
  <c r="Q1201" i="34"/>
  <c r="R1201" i="34"/>
  <c r="V1201" i="34"/>
  <c r="AA2210" i="34"/>
  <c r="P2210" i="34"/>
  <c r="X2210" i="34"/>
  <c r="Q2210" i="34"/>
  <c r="R2210" i="34"/>
  <c r="V2210" i="34"/>
  <c r="AA2214" i="34"/>
  <c r="P2214" i="34"/>
  <c r="X2214" i="34"/>
  <c r="Q2214" i="34"/>
  <c r="R2214" i="34"/>
  <c r="V2214" i="34"/>
  <c r="Q1650" i="34"/>
  <c r="R1650" i="34"/>
  <c r="V1650" i="34"/>
  <c r="AA1650" i="34"/>
  <c r="P1650" i="34"/>
  <c r="X1650" i="34"/>
  <c r="Q1654" i="34"/>
  <c r="R1654" i="34"/>
  <c r="V1654" i="34"/>
  <c r="AA1654" i="34"/>
  <c r="P1654" i="34"/>
  <c r="X1654" i="34"/>
  <c r="Q1680" i="34"/>
  <c r="R1680" i="34"/>
  <c r="V1680" i="34"/>
  <c r="AA1680" i="34"/>
  <c r="P1680" i="34"/>
  <c r="X1680" i="34"/>
  <c r="Q1684" i="34"/>
  <c r="R1684" i="34"/>
  <c r="V1684" i="34"/>
  <c r="AA1684" i="34"/>
  <c r="P1684" i="34"/>
  <c r="X1684" i="34"/>
  <c r="AA1705" i="34"/>
  <c r="P1705" i="34"/>
  <c r="X1705" i="34"/>
  <c r="Q1705" i="34"/>
  <c r="R1705" i="34"/>
  <c r="V1705" i="34"/>
  <c r="AA1709" i="34"/>
  <c r="P1709" i="34"/>
  <c r="X1709" i="34"/>
  <c r="Q1709" i="34"/>
  <c r="R1709" i="34"/>
  <c r="V1709" i="34"/>
  <c r="Q1736" i="34"/>
  <c r="R1736" i="34"/>
  <c r="V1736" i="34"/>
  <c r="AA1736" i="34"/>
  <c r="P1736" i="34"/>
  <c r="X1736" i="34"/>
  <c r="AA913" i="34"/>
  <c r="P913" i="34"/>
  <c r="X913" i="34"/>
  <c r="Q913" i="34"/>
  <c r="R913" i="34"/>
  <c r="V913" i="34"/>
  <c r="S1269" i="34"/>
  <c r="AA1269" i="34"/>
  <c r="P1269" i="34"/>
  <c r="T1269" i="34"/>
  <c r="X1269" i="34"/>
  <c r="Q1269" i="34"/>
  <c r="U1269" i="34"/>
  <c r="R1269" i="34"/>
  <c r="V1269" i="34"/>
  <c r="S1273" i="34"/>
  <c r="AA1273" i="34"/>
  <c r="P1273" i="34"/>
  <c r="T1273" i="34"/>
  <c r="X1273" i="34"/>
  <c r="Q1273" i="34"/>
  <c r="U1273" i="34"/>
  <c r="R1273" i="34"/>
  <c r="V1273" i="34"/>
  <c r="Q1300" i="34"/>
  <c r="U1300" i="34"/>
  <c r="R1300" i="34"/>
  <c r="V1300" i="34"/>
  <c r="S1300" i="34"/>
  <c r="AA1300" i="34"/>
  <c r="P1300" i="34"/>
  <c r="T1300" i="34"/>
  <c r="X1300" i="34"/>
  <c r="AA1319" i="34"/>
  <c r="P1319" i="34"/>
  <c r="X1319" i="34"/>
  <c r="Q1319" i="34"/>
  <c r="R1319" i="34"/>
  <c r="V1319" i="34"/>
  <c r="AA1235" i="34"/>
  <c r="P1235" i="34"/>
  <c r="X1235" i="34"/>
  <c r="Q1235" i="34"/>
  <c r="R1235" i="34"/>
  <c r="V1235" i="34"/>
  <c r="AA1153" i="34"/>
  <c r="P1153" i="34"/>
  <c r="X1153" i="34"/>
  <c r="Q1153" i="34"/>
  <c r="R1153" i="34"/>
  <c r="V1153" i="34"/>
  <c r="Q994" i="34"/>
  <c r="R994" i="34"/>
  <c r="V994" i="34"/>
  <c r="AA994" i="34"/>
  <c r="P994" i="34"/>
  <c r="X994" i="34"/>
  <c r="Q998" i="34"/>
  <c r="R998" i="34"/>
  <c r="V998" i="34"/>
  <c r="AA998" i="34"/>
  <c r="P998" i="34"/>
  <c r="X998" i="34"/>
  <c r="R1032" i="34"/>
  <c r="V1032" i="34"/>
  <c r="P1032" i="34"/>
  <c r="X1032" i="34"/>
  <c r="Q1032" i="34"/>
  <c r="AA1032" i="34"/>
  <c r="P1037" i="34"/>
  <c r="X1037" i="34"/>
  <c r="R1037" i="34"/>
  <c r="Q1037" i="34"/>
  <c r="V1037" i="34"/>
  <c r="AA1037" i="34"/>
  <c r="AA977" i="34"/>
  <c r="P977" i="34"/>
  <c r="X977" i="34"/>
  <c r="Q977" i="34"/>
  <c r="R977" i="34"/>
  <c r="V977" i="34"/>
  <c r="AA1125" i="34"/>
  <c r="P1125" i="34"/>
  <c r="X1125" i="34"/>
  <c r="Q1125" i="34"/>
  <c r="R1125" i="34"/>
  <c r="V1125" i="34"/>
  <c r="AA1169" i="34"/>
  <c r="P1169" i="34"/>
  <c r="X1169" i="34"/>
  <c r="Q1169" i="34"/>
  <c r="R1169" i="34"/>
  <c r="V1169" i="34"/>
  <c r="AA1233" i="34"/>
  <c r="P1233" i="34"/>
  <c r="X1233" i="34"/>
  <c r="Q1233" i="34"/>
  <c r="R1233" i="34"/>
  <c r="V1233" i="34"/>
  <c r="Q1674" i="34"/>
  <c r="R1674" i="34"/>
  <c r="V1674" i="34"/>
  <c r="AA1674" i="34"/>
  <c r="P1674" i="34"/>
  <c r="X1674" i="34"/>
  <c r="S1293" i="34"/>
  <c r="AA1293" i="34"/>
  <c r="P1293" i="34"/>
  <c r="T1293" i="34"/>
  <c r="X1293" i="34"/>
  <c r="Q1293" i="34"/>
  <c r="U1293" i="34"/>
  <c r="R1293" i="34"/>
  <c r="V1293" i="34"/>
  <c r="Q1260" i="34"/>
  <c r="U1260" i="34"/>
  <c r="R1260" i="34"/>
  <c r="V1260" i="34"/>
  <c r="S1260" i="34"/>
  <c r="AA1260" i="34"/>
  <c r="P1260" i="34"/>
  <c r="T1260" i="34"/>
  <c r="X1260" i="34"/>
  <c r="Q988" i="34"/>
  <c r="R988" i="34"/>
  <c r="V988" i="34"/>
  <c r="AA988" i="34"/>
  <c r="P988" i="34"/>
  <c r="X988" i="34"/>
  <c r="Q984" i="34"/>
  <c r="R984" i="34"/>
  <c r="V984" i="34"/>
  <c r="AA984" i="34"/>
  <c r="P984" i="34"/>
  <c r="X984" i="34"/>
  <c r="Q946" i="34"/>
  <c r="R946" i="34"/>
  <c r="V946" i="34"/>
  <c r="AA946" i="34"/>
  <c r="P946" i="34"/>
  <c r="X946" i="34"/>
  <c r="Q938" i="34"/>
  <c r="R938" i="34"/>
  <c r="V938" i="34"/>
  <c r="AA938" i="34"/>
  <c r="P938" i="34"/>
  <c r="X938" i="34"/>
  <c r="AA1227" i="34"/>
  <c r="P1227" i="34"/>
  <c r="X1227" i="34"/>
  <c r="Q1227" i="34"/>
  <c r="R1227" i="34"/>
  <c r="V1227" i="34"/>
  <c r="AA1123" i="34"/>
  <c r="P1123" i="34"/>
  <c r="X1123" i="34"/>
  <c r="Q1123" i="34"/>
  <c r="R1123" i="34"/>
  <c r="V1123" i="34"/>
  <c r="AA1117" i="34"/>
  <c r="P1117" i="34"/>
  <c r="X1117" i="34"/>
  <c r="Q1117" i="34"/>
  <c r="R1117" i="34"/>
  <c r="V1117" i="34"/>
  <c r="Q1108" i="34"/>
  <c r="R1108" i="34"/>
  <c r="V1108" i="34"/>
  <c r="AA1108" i="34"/>
  <c r="P1108" i="34"/>
  <c r="X1108" i="34"/>
  <c r="Q964" i="34"/>
  <c r="R964" i="34"/>
  <c r="V964" i="34"/>
  <c r="AA964" i="34"/>
  <c r="P964" i="34"/>
  <c r="X964" i="34"/>
  <c r="Q960" i="34"/>
  <c r="R960" i="34"/>
  <c r="V960" i="34"/>
  <c r="AA960" i="34"/>
  <c r="P960" i="34"/>
  <c r="X960" i="34"/>
  <c r="Q1056" i="34"/>
  <c r="R1056" i="34"/>
  <c r="V1056" i="34"/>
  <c r="AA1056" i="34"/>
  <c r="P1056" i="34"/>
  <c r="X1056" i="34"/>
  <c r="AA1063" i="34"/>
  <c r="P1063" i="34"/>
  <c r="X1063" i="34"/>
  <c r="Q1063" i="34"/>
  <c r="R1063" i="34"/>
  <c r="V1063" i="34"/>
  <c r="AA1049" i="34"/>
  <c r="P1049" i="34"/>
  <c r="X1049" i="34"/>
  <c r="Q1049" i="34"/>
  <c r="R1049" i="34"/>
  <c r="V1049" i="34"/>
  <c r="AA309" i="34"/>
  <c r="P309" i="34"/>
  <c r="X309" i="34"/>
  <c r="Q309" i="34"/>
  <c r="R309" i="34"/>
  <c r="V309" i="34"/>
  <c r="AA313" i="34"/>
  <c r="P313" i="34"/>
  <c r="X313" i="34"/>
  <c r="Q313" i="34"/>
  <c r="R313" i="34"/>
  <c r="V313" i="34"/>
  <c r="AA317" i="34"/>
  <c r="P317" i="34"/>
  <c r="X317" i="34"/>
  <c r="Q317" i="34"/>
  <c r="R317" i="34"/>
  <c r="V317" i="34"/>
  <c r="AA321" i="34"/>
  <c r="P321" i="34"/>
  <c r="X321" i="34"/>
  <c r="Q321" i="34"/>
  <c r="R321" i="34"/>
  <c r="V321" i="34"/>
  <c r="AA325" i="34"/>
  <c r="P325" i="34"/>
  <c r="X325" i="34"/>
  <c r="R325" i="34"/>
  <c r="V325" i="34"/>
  <c r="Q325" i="34"/>
  <c r="AA329" i="34"/>
  <c r="P329" i="34"/>
  <c r="X329" i="34"/>
  <c r="R329" i="34"/>
  <c r="V329" i="34"/>
  <c r="Q329" i="34"/>
  <c r="AA333" i="34"/>
  <c r="P333" i="34"/>
  <c r="X333" i="34"/>
  <c r="R333" i="34"/>
  <c r="V333" i="34"/>
  <c r="Q333" i="34"/>
  <c r="P337" i="34"/>
  <c r="X337" i="34"/>
  <c r="R337" i="34"/>
  <c r="V337" i="34"/>
  <c r="AA337" i="34"/>
  <c r="Q337" i="34"/>
  <c r="P341" i="34"/>
  <c r="X341" i="34"/>
  <c r="R341" i="34"/>
  <c r="V341" i="34"/>
  <c r="AA341" i="34"/>
  <c r="Q341" i="34"/>
  <c r="Q432" i="34"/>
  <c r="R432" i="34"/>
  <c r="V432" i="34"/>
  <c r="AA432" i="34"/>
  <c r="P432" i="34"/>
  <c r="X432" i="34"/>
  <c r="Q436" i="34"/>
  <c r="R436" i="34"/>
  <c r="V436" i="34"/>
  <c r="AA436" i="34"/>
  <c r="P436" i="34"/>
  <c r="X436" i="34"/>
  <c r="Q440" i="34"/>
  <c r="R440" i="34"/>
  <c r="V440" i="34"/>
  <c r="AA440" i="34"/>
  <c r="P440" i="34"/>
  <c r="X440" i="34"/>
  <c r="Q444" i="34"/>
  <c r="R444" i="34"/>
  <c r="V444" i="34"/>
  <c r="AA444" i="34"/>
  <c r="P444" i="34"/>
  <c r="X444" i="34"/>
  <c r="Q448" i="34"/>
  <c r="R448" i="34"/>
  <c r="V448" i="34"/>
  <c r="AA448" i="34"/>
  <c r="P448" i="34"/>
  <c r="X448" i="34"/>
  <c r="R452" i="34"/>
  <c r="V452" i="34"/>
  <c r="AA452" i="34"/>
  <c r="P452" i="34"/>
  <c r="X452" i="34"/>
  <c r="Q452" i="34"/>
  <c r="R456" i="34"/>
  <c r="V456" i="34"/>
  <c r="AA456" i="34"/>
  <c r="P456" i="34"/>
  <c r="X456" i="34"/>
  <c r="Q456" i="34"/>
  <c r="R460" i="34"/>
  <c r="V460" i="34"/>
  <c r="AA460" i="34"/>
  <c r="P460" i="34"/>
  <c r="X460" i="34"/>
  <c r="Q460" i="34"/>
  <c r="R464" i="34"/>
  <c r="V464" i="34"/>
  <c r="AA464" i="34"/>
  <c r="P464" i="34"/>
  <c r="X464" i="34"/>
  <c r="Q464" i="34"/>
  <c r="R468" i="34"/>
  <c r="V468" i="34"/>
  <c r="AA468" i="34"/>
  <c r="P468" i="34"/>
  <c r="X468" i="34"/>
  <c r="Q468" i="34"/>
  <c r="R540" i="34"/>
  <c r="V540" i="34"/>
  <c r="AA540" i="34"/>
  <c r="P540" i="34"/>
  <c r="X540" i="34"/>
  <c r="Q540" i="34"/>
  <c r="Q846" i="34"/>
  <c r="R846" i="34"/>
  <c r="V846" i="34"/>
  <c r="AA846" i="34"/>
  <c r="P846" i="34"/>
  <c r="X846" i="34"/>
  <c r="Q850" i="34"/>
  <c r="R850" i="34"/>
  <c r="V850" i="34"/>
  <c r="AA850" i="34"/>
  <c r="P850" i="34"/>
  <c r="X850" i="34"/>
  <c r="Q854" i="34"/>
  <c r="R854" i="34"/>
  <c r="V854" i="34"/>
  <c r="AA854" i="34"/>
  <c r="P854" i="34"/>
  <c r="X854" i="34"/>
  <c r="Q858" i="34"/>
  <c r="R858" i="34"/>
  <c r="V858" i="34"/>
  <c r="P858" i="34"/>
  <c r="X858" i="34"/>
  <c r="AA858" i="34"/>
  <c r="Q862" i="34"/>
  <c r="R862" i="34"/>
  <c r="V862" i="34"/>
  <c r="P862" i="34"/>
  <c r="X862" i="34"/>
  <c r="AA862" i="34"/>
  <c r="P866" i="34"/>
  <c r="X866" i="34"/>
  <c r="Q866" i="34"/>
  <c r="R866" i="34"/>
  <c r="V866" i="34"/>
  <c r="AA866" i="34"/>
  <c r="P870" i="34"/>
  <c r="X870" i="34"/>
  <c r="Q870" i="34"/>
  <c r="R870" i="34"/>
  <c r="V870" i="34"/>
  <c r="AA870" i="34"/>
  <c r="P874" i="34"/>
  <c r="X874" i="34"/>
  <c r="Q874" i="34"/>
  <c r="R874" i="34"/>
  <c r="V874" i="34"/>
  <c r="AA874" i="34"/>
  <c r="Q878" i="34"/>
  <c r="R878" i="34"/>
  <c r="V878" i="34"/>
  <c r="AA878" i="34"/>
  <c r="P878" i="34"/>
  <c r="X878" i="34"/>
  <c r="Q882" i="34"/>
  <c r="R882" i="34"/>
  <c r="V882" i="34"/>
  <c r="AA882" i="34"/>
  <c r="P882" i="34"/>
  <c r="X882" i="34"/>
  <c r="Q886" i="34"/>
  <c r="R886" i="34"/>
  <c r="V886" i="34"/>
  <c r="AA886" i="34"/>
  <c r="P886" i="34"/>
  <c r="X886" i="34"/>
  <c r="Q890" i="34"/>
  <c r="R890" i="34"/>
  <c r="V890" i="34"/>
  <c r="AA890" i="34"/>
  <c r="P890" i="34"/>
  <c r="X890" i="34"/>
  <c r="Q894" i="34"/>
  <c r="R894" i="34"/>
  <c r="V894" i="34"/>
  <c r="AA894" i="34"/>
  <c r="P894" i="34"/>
  <c r="X894" i="34"/>
  <c r="Q898" i="34"/>
  <c r="R898" i="34"/>
  <c r="V898" i="34"/>
  <c r="AA898" i="34"/>
  <c r="P898" i="34"/>
  <c r="X898" i="34"/>
  <c r="Q902" i="34"/>
  <c r="R902" i="34"/>
  <c r="V902" i="34"/>
  <c r="AA902" i="34"/>
  <c r="P902" i="34"/>
  <c r="X902" i="34"/>
  <c r="Q908" i="34"/>
  <c r="R908" i="34"/>
  <c r="V908" i="34"/>
  <c r="AA908" i="34"/>
  <c r="P908" i="34"/>
  <c r="X908" i="34"/>
  <c r="AA915" i="34"/>
  <c r="P915" i="34"/>
  <c r="X915" i="34"/>
  <c r="Q915" i="34"/>
  <c r="R915" i="34"/>
  <c r="V915" i="34"/>
  <c r="AA2280" i="34"/>
  <c r="P2280" i="34"/>
  <c r="X2280" i="34"/>
  <c r="Q2280" i="34"/>
  <c r="R2280" i="34"/>
  <c r="V2280" i="34"/>
  <c r="Q2273" i="34"/>
  <c r="R2273" i="34"/>
  <c r="V2273" i="34"/>
  <c r="AA2273" i="34"/>
  <c r="P2273" i="34"/>
  <c r="X2273" i="34"/>
  <c r="Q2289" i="34"/>
  <c r="R2289" i="34"/>
  <c r="V2289" i="34"/>
  <c r="AA2289" i="34"/>
  <c r="P2289" i="34"/>
  <c r="X2289" i="34"/>
  <c r="P1029" i="34"/>
  <c r="X1029" i="34"/>
  <c r="R1029" i="34"/>
  <c r="V1029" i="34"/>
  <c r="AA1029" i="34"/>
  <c r="Q1029" i="34"/>
  <c r="Q1202" i="34"/>
  <c r="R1202" i="34"/>
  <c r="V1202" i="34"/>
  <c r="AA1202" i="34"/>
  <c r="P1202" i="34"/>
  <c r="X1202" i="34"/>
  <c r="Q2211" i="34"/>
  <c r="R2211" i="34"/>
  <c r="V2211" i="34"/>
  <c r="AA2211" i="34"/>
  <c r="P2211" i="34"/>
  <c r="X2211" i="34"/>
  <c r="Q2215" i="34"/>
  <c r="R2215" i="34"/>
  <c r="V2215" i="34"/>
  <c r="AA2215" i="34"/>
  <c r="P2215" i="34"/>
  <c r="X2215" i="34"/>
  <c r="AA1651" i="34"/>
  <c r="P1651" i="34"/>
  <c r="X1651" i="34"/>
  <c r="Q1651" i="34"/>
  <c r="R1651" i="34"/>
  <c r="V1651" i="34"/>
  <c r="AA1655" i="34"/>
  <c r="P1655" i="34"/>
  <c r="X1655" i="34"/>
  <c r="Q1655" i="34"/>
  <c r="R1655" i="34"/>
  <c r="V1655" i="34"/>
  <c r="AA1681" i="34"/>
  <c r="P1681" i="34"/>
  <c r="X1681" i="34"/>
  <c r="Q1681" i="34"/>
  <c r="R1681" i="34"/>
  <c r="V1681" i="34"/>
  <c r="AA1685" i="34"/>
  <c r="P1685" i="34"/>
  <c r="X1685" i="34"/>
  <c r="Q1685" i="34"/>
  <c r="R1685" i="34"/>
  <c r="V1685" i="34"/>
  <c r="Q1706" i="34"/>
  <c r="R1706" i="34"/>
  <c r="V1706" i="34"/>
  <c r="AA1706" i="34"/>
  <c r="P1706" i="34"/>
  <c r="X1706" i="34"/>
  <c r="Q1710" i="34"/>
  <c r="R1710" i="34"/>
  <c r="V1710" i="34"/>
  <c r="AA1710" i="34"/>
  <c r="P1710" i="34"/>
  <c r="X1710" i="34"/>
  <c r="AA1737" i="34"/>
  <c r="P1737" i="34"/>
  <c r="X1737" i="34"/>
  <c r="Q1737" i="34"/>
  <c r="R1737" i="34"/>
  <c r="V1737" i="34"/>
  <c r="Q1266" i="34"/>
  <c r="U1266" i="34"/>
  <c r="R1266" i="34"/>
  <c r="V1266" i="34"/>
  <c r="S1266" i="34"/>
  <c r="AA1266" i="34"/>
  <c r="P1266" i="34"/>
  <c r="T1266" i="34"/>
  <c r="X1266" i="34"/>
  <c r="Q1270" i="34"/>
  <c r="U1270" i="34"/>
  <c r="R1270" i="34"/>
  <c r="V1270" i="34"/>
  <c r="S1270" i="34"/>
  <c r="AA1270" i="34"/>
  <c r="P1270" i="34"/>
  <c r="T1270" i="34"/>
  <c r="X1270" i="34"/>
  <c r="Q1296" i="34"/>
  <c r="U1296" i="34"/>
  <c r="R1296" i="34"/>
  <c r="V1296" i="34"/>
  <c r="S1296" i="34"/>
  <c r="AA1296" i="34"/>
  <c r="P1296" i="34"/>
  <c r="T1296" i="34"/>
  <c r="X1296" i="34"/>
  <c r="S1301" i="34"/>
  <c r="AA1301" i="34"/>
  <c r="P1301" i="34"/>
  <c r="T1301" i="34"/>
  <c r="X1301" i="34"/>
  <c r="Q1301" i="34"/>
  <c r="U1301" i="34"/>
  <c r="R1301" i="34"/>
  <c r="V1301" i="34"/>
  <c r="Q1320" i="34"/>
  <c r="R1320" i="34"/>
  <c r="V1320" i="34"/>
  <c r="AA1320" i="34"/>
  <c r="P1320" i="34"/>
  <c r="X1320" i="34"/>
  <c r="AA1119" i="34"/>
  <c r="P1119" i="34"/>
  <c r="X1119" i="34"/>
  <c r="Q1119" i="34"/>
  <c r="R1119" i="34"/>
  <c r="V1119" i="34"/>
  <c r="AA1155" i="34"/>
  <c r="P1155" i="34"/>
  <c r="X1155" i="34"/>
  <c r="Q1155" i="34"/>
  <c r="R1155" i="34"/>
  <c r="V1155" i="34"/>
  <c r="AA995" i="34"/>
  <c r="P995" i="34"/>
  <c r="X995" i="34"/>
  <c r="Q995" i="34"/>
  <c r="R995" i="34"/>
  <c r="V995" i="34"/>
  <c r="AA999" i="34"/>
  <c r="P999" i="34"/>
  <c r="X999" i="34"/>
  <c r="Q999" i="34"/>
  <c r="R999" i="34"/>
  <c r="V999" i="34"/>
  <c r="P1033" i="34"/>
  <c r="X1033" i="34"/>
  <c r="R1033" i="34"/>
  <c r="V1033" i="34"/>
  <c r="AA1033" i="34"/>
  <c r="Q1033" i="34"/>
  <c r="R1038" i="34"/>
  <c r="V1038" i="34"/>
  <c r="P1038" i="34"/>
  <c r="Q1038" i="34"/>
  <c r="AA1038" i="34"/>
  <c r="X1038" i="34"/>
  <c r="Q978" i="34"/>
  <c r="R978" i="34"/>
  <c r="V978" i="34"/>
  <c r="AA978" i="34"/>
  <c r="P978" i="34"/>
  <c r="X978" i="34"/>
  <c r="Q1142" i="34"/>
  <c r="R1142" i="34"/>
  <c r="V1142" i="34"/>
  <c r="AA1142" i="34"/>
  <c r="P1142" i="34"/>
  <c r="X1142" i="34"/>
  <c r="Q1174" i="34"/>
  <c r="R1174" i="34"/>
  <c r="V1174" i="34"/>
  <c r="AA1174" i="34"/>
  <c r="P1174" i="34"/>
  <c r="X1174" i="34"/>
  <c r="AA1053" i="34"/>
  <c r="P1053" i="34"/>
  <c r="X1053" i="34"/>
  <c r="Q1053" i="34"/>
  <c r="R1053" i="34"/>
  <c r="V1053" i="34"/>
  <c r="Q1318" i="34"/>
  <c r="R1318" i="34"/>
  <c r="V1318" i="34"/>
  <c r="AA1318" i="34"/>
  <c r="P1318" i="34"/>
  <c r="X1318" i="34"/>
  <c r="S1265" i="34"/>
  <c r="AA1265" i="34"/>
  <c r="P1265" i="34"/>
  <c r="T1265" i="34"/>
  <c r="X1265" i="34"/>
  <c r="Q1265" i="34"/>
  <c r="U1265" i="34"/>
  <c r="R1265" i="34"/>
  <c r="V1265" i="34"/>
  <c r="S1259" i="34"/>
  <c r="AA1259" i="34"/>
  <c r="P1259" i="34"/>
  <c r="T1259" i="34"/>
  <c r="X1259" i="34"/>
  <c r="Q1259" i="34"/>
  <c r="U1259" i="34"/>
  <c r="R1259" i="34"/>
  <c r="V1259" i="34"/>
  <c r="AA987" i="34"/>
  <c r="P987" i="34"/>
  <c r="X987" i="34"/>
  <c r="Q987" i="34"/>
  <c r="R987" i="34"/>
  <c r="V987" i="34"/>
  <c r="Q982" i="34"/>
  <c r="R982" i="34"/>
  <c r="V982" i="34"/>
  <c r="AA982" i="34"/>
  <c r="P982" i="34"/>
  <c r="X982" i="34"/>
  <c r="Q942" i="34"/>
  <c r="R942" i="34"/>
  <c r="V942" i="34"/>
  <c r="AA942" i="34"/>
  <c r="P942" i="34"/>
  <c r="X942" i="34"/>
  <c r="AA937" i="34"/>
  <c r="P937" i="34"/>
  <c r="X937" i="34"/>
  <c r="Q937" i="34"/>
  <c r="R937" i="34"/>
  <c r="V937" i="34"/>
  <c r="AA1225" i="34"/>
  <c r="P1225" i="34"/>
  <c r="X1225" i="34"/>
  <c r="Q1225" i="34"/>
  <c r="R1225" i="34"/>
  <c r="V1225" i="34"/>
  <c r="Q1122" i="34"/>
  <c r="R1122" i="34"/>
  <c r="V1122" i="34"/>
  <c r="AA1122" i="34"/>
  <c r="P1122" i="34"/>
  <c r="X1122" i="34"/>
  <c r="AA1111" i="34"/>
  <c r="P1111" i="34"/>
  <c r="X1111" i="34"/>
  <c r="Q1111" i="34"/>
  <c r="R1111" i="34"/>
  <c r="V1111" i="34"/>
  <c r="AA1107" i="34"/>
  <c r="P1107" i="34"/>
  <c r="X1107" i="34"/>
  <c r="Q1107" i="34"/>
  <c r="R1107" i="34"/>
  <c r="V1107" i="34"/>
  <c r="AA963" i="34"/>
  <c r="P963" i="34"/>
  <c r="X963" i="34"/>
  <c r="Q963" i="34"/>
  <c r="R963" i="34"/>
  <c r="V963" i="34"/>
  <c r="AA1079" i="34"/>
  <c r="P1079" i="34"/>
  <c r="X1079" i="34"/>
  <c r="Q1079" i="34"/>
  <c r="R1079" i="34"/>
  <c r="V1079" i="34"/>
  <c r="AA1055" i="34"/>
  <c r="P1055" i="34"/>
  <c r="X1055" i="34"/>
  <c r="Q1055" i="34"/>
  <c r="R1055" i="34"/>
  <c r="V1055" i="34"/>
  <c r="Q1062" i="34"/>
  <c r="R1062" i="34"/>
  <c r="V1062" i="34"/>
  <c r="AA1062" i="34"/>
  <c r="P1062" i="34"/>
  <c r="X1062" i="34"/>
  <c r="Q1048" i="34"/>
  <c r="R1048" i="34"/>
  <c r="V1048" i="34"/>
  <c r="AA1048" i="34"/>
  <c r="P1048" i="34"/>
  <c r="X1048" i="34"/>
  <c r="Q310" i="34"/>
  <c r="R310" i="34"/>
  <c r="V310" i="34"/>
  <c r="AA310" i="34"/>
  <c r="P310" i="34"/>
  <c r="X310" i="34"/>
  <c r="Q314" i="34"/>
  <c r="R314" i="34"/>
  <c r="V314" i="34"/>
  <c r="AA314" i="34"/>
  <c r="P314" i="34"/>
  <c r="X314" i="34"/>
  <c r="Q318" i="34"/>
  <c r="R318" i="34"/>
  <c r="V318" i="34"/>
  <c r="AA318" i="34"/>
  <c r="P318" i="34"/>
  <c r="X318" i="34"/>
  <c r="Q322" i="34"/>
  <c r="R322" i="34"/>
  <c r="V322" i="34"/>
  <c r="P322" i="34"/>
  <c r="X322" i="34"/>
  <c r="AA322" i="34"/>
  <c r="Q326" i="34"/>
  <c r="R326" i="34"/>
  <c r="V326" i="34"/>
  <c r="P326" i="34"/>
  <c r="X326" i="34"/>
  <c r="AA326" i="34"/>
  <c r="Q330" i="34"/>
  <c r="R330" i="34"/>
  <c r="V330" i="34"/>
  <c r="P330" i="34"/>
  <c r="X330" i="34"/>
  <c r="AA330" i="34"/>
  <c r="Q334" i="34"/>
  <c r="R334" i="34"/>
  <c r="V334" i="34"/>
  <c r="P334" i="34"/>
  <c r="X334" i="34"/>
  <c r="AA334" i="34"/>
  <c r="R338" i="34"/>
  <c r="V338" i="34"/>
  <c r="P338" i="34"/>
  <c r="X338" i="34"/>
  <c r="AA338" i="34"/>
  <c r="Q338" i="34"/>
  <c r="AA429" i="34"/>
  <c r="P429" i="34"/>
  <c r="X429" i="34"/>
  <c r="Q429" i="34"/>
  <c r="R429" i="34"/>
  <c r="V429" i="34"/>
  <c r="AA433" i="34"/>
  <c r="P433" i="34"/>
  <c r="X433" i="34"/>
  <c r="Q433" i="34"/>
  <c r="R433" i="34"/>
  <c r="V433" i="34"/>
  <c r="AA437" i="34"/>
  <c r="P437" i="34"/>
  <c r="X437" i="34"/>
  <c r="Q437" i="34"/>
  <c r="R437" i="34"/>
  <c r="V437" i="34"/>
  <c r="AA441" i="34"/>
  <c r="P441" i="34"/>
  <c r="X441" i="34"/>
  <c r="Q441" i="34"/>
  <c r="R441" i="34"/>
  <c r="V441" i="34"/>
  <c r="AA445" i="34"/>
  <c r="P445" i="34"/>
  <c r="X445" i="34"/>
  <c r="Q445" i="34"/>
  <c r="R445" i="34"/>
  <c r="V445" i="34"/>
  <c r="Q449" i="34"/>
  <c r="X449" i="34"/>
  <c r="P449" i="34"/>
  <c r="R449" i="34"/>
  <c r="V449" i="34"/>
  <c r="AA449" i="34"/>
  <c r="P453" i="34"/>
  <c r="X453" i="34"/>
  <c r="Q453" i="34"/>
  <c r="R453" i="34"/>
  <c r="V453" i="34"/>
  <c r="AA453" i="34"/>
  <c r="P457" i="34"/>
  <c r="X457" i="34"/>
  <c r="Q457" i="34"/>
  <c r="R457" i="34"/>
  <c r="V457" i="34"/>
  <c r="AA457" i="34"/>
  <c r="P461" i="34"/>
  <c r="X461" i="34"/>
  <c r="Q461" i="34"/>
  <c r="R461" i="34"/>
  <c r="V461" i="34"/>
  <c r="AA461" i="34"/>
  <c r="P465" i="34"/>
  <c r="X465" i="34"/>
  <c r="Q465" i="34"/>
  <c r="R465" i="34"/>
  <c r="V465" i="34"/>
  <c r="AA465" i="34"/>
  <c r="R530" i="34"/>
  <c r="V530" i="34"/>
  <c r="AA530" i="34"/>
  <c r="P530" i="34"/>
  <c r="X530" i="34"/>
  <c r="Q530" i="34"/>
  <c r="P541" i="34"/>
  <c r="X541" i="34"/>
  <c r="Q541" i="34"/>
  <c r="R541" i="34"/>
  <c r="V541" i="34"/>
  <c r="AA541" i="34"/>
  <c r="AA847" i="34"/>
  <c r="P847" i="34"/>
  <c r="X847" i="34"/>
  <c r="Q847" i="34"/>
  <c r="R847" i="34"/>
  <c r="V847" i="34"/>
  <c r="AA851" i="34"/>
  <c r="P851" i="34"/>
  <c r="X851" i="34"/>
  <c r="Q851" i="34"/>
  <c r="R851" i="34"/>
  <c r="V851" i="34"/>
  <c r="AA855" i="34"/>
  <c r="P855" i="34"/>
  <c r="X855" i="34"/>
  <c r="Q855" i="34"/>
  <c r="R855" i="34"/>
  <c r="V855" i="34"/>
  <c r="AA859" i="34"/>
  <c r="P859" i="34"/>
  <c r="X859" i="34"/>
  <c r="R859" i="34"/>
  <c r="V859" i="34"/>
  <c r="Q859" i="34"/>
  <c r="AA863" i="34"/>
  <c r="P863" i="34"/>
  <c r="X863" i="34"/>
  <c r="R863" i="34"/>
  <c r="V863" i="34"/>
  <c r="Q863" i="34"/>
  <c r="R867" i="34"/>
  <c r="V867" i="34"/>
  <c r="P867" i="34"/>
  <c r="Q867" i="34"/>
  <c r="AA867" i="34"/>
  <c r="X867" i="34"/>
  <c r="R871" i="34"/>
  <c r="V871" i="34"/>
  <c r="P871" i="34"/>
  <c r="Q871" i="34"/>
  <c r="AA871" i="34"/>
  <c r="X871" i="34"/>
  <c r="AA875" i="34"/>
  <c r="P875" i="34"/>
  <c r="X875" i="34"/>
  <c r="Q875" i="34"/>
  <c r="R875" i="34"/>
  <c r="V875" i="34"/>
  <c r="AA879" i="34"/>
  <c r="P879" i="34"/>
  <c r="X879" i="34"/>
  <c r="Q879" i="34"/>
  <c r="R879" i="34"/>
  <c r="V879" i="34"/>
  <c r="AA883" i="34"/>
  <c r="P883" i="34"/>
  <c r="X883" i="34"/>
  <c r="Q883" i="34"/>
  <c r="R883" i="34"/>
  <c r="V883" i="34"/>
  <c r="AA887" i="34"/>
  <c r="P887" i="34"/>
  <c r="X887" i="34"/>
  <c r="Q887" i="34"/>
  <c r="R887" i="34"/>
  <c r="V887" i="34"/>
  <c r="AA891" i="34"/>
  <c r="P891" i="34"/>
  <c r="X891" i="34"/>
  <c r="Q891" i="34"/>
  <c r="R891" i="34"/>
  <c r="V891" i="34"/>
  <c r="AA895" i="34"/>
  <c r="P895" i="34"/>
  <c r="X895" i="34"/>
  <c r="Q895" i="34"/>
  <c r="R895" i="34"/>
  <c r="V895" i="34"/>
  <c r="AA899" i="34"/>
  <c r="P899" i="34"/>
  <c r="X899" i="34"/>
  <c r="Q899" i="34"/>
  <c r="R899" i="34"/>
  <c r="V899" i="34"/>
  <c r="Q904" i="34"/>
  <c r="R904" i="34"/>
  <c r="V904" i="34"/>
  <c r="AA904" i="34"/>
  <c r="P904" i="34"/>
  <c r="X904" i="34"/>
  <c r="AA909" i="34"/>
  <c r="P909" i="34"/>
  <c r="X909" i="34"/>
  <c r="Q909" i="34"/>
  <c r="R909" i="34"/>
  <c r="V909" i="34"/>
  <c r="Q916" i="34"/>
  <c r="R916" i="34"/>
  <c r="V916" i="34"/>
  <c r="AA916" i="34"/>
  <c r="P916" i="34"/>
  <c r="X916" i="34"/>
  <c r="AA2276" i="34"/>
  <c r="P2276" i="34"/>
  <c r="X2276" i="34"/>
  <c r="Q2276" i="34"/>
  <c r="R2276" i="34"/>
  <c r="V2276" i="34"/>
  <c r="AA1783" i="34"/>
  <c r="P1783" i="34"/>
  <c r="X1783" i="34"/>
  <c r="Q1783" i="34"/>
  <c r="R1783" i="34"/>
  <c r="V1783" i="34"/>
  <c r="Q2281" i="34"/>
  <c r="R2281" i="34"/>
  <c r="V2281" i="34"/>
  <c r="AA2281" i="34"/>
  <c r="P2281" i="34"/>
  <c r="X2281" i="34"/>
  <c r="Q1738" i="34"/>
  <c r="R1738" i="34"/>
  <c r="V1738" i="34"/>
  <c r="AA1738" i="34"/>
  <c r="P1738" i="34"/>
  <c r="X1738" i="34"/>
  <c r="AA1185" i="34"/>
  <c r="P1185" i="34"/>
  <c r="X1185" i="34"/>
  <c r="Q1185" i="34"/>
  <c r="R1185" i="34"/>
  <c r="V1185" i="34"/>
  <c r="Q1768" i="34"/>
  <c r="R1768" i="34"/>
  <c r="V1768" i="34"/>
  <c r="AA1768" i="34"/>
  <c r="P1768" i="34"/>
  <c r="X1768" i="34"/>
  <c r="AA2274" i="34"/>
  <c r="P2274" i="34"/>
  <c r="X2274" i="34"/>
  <c r="Q2274" i="34"/>
  <c r="R2274" i="34"/>
  <c r="V2274" i="34"/>
  <c r="AA2278" i="34"/>
  <c r="P2278" i="34"/>
  <c r="X2278" i="34"/>
  <c r="Q2278" i="34"/>
  <c r="R2278" i="34"/>
  <c r="V2278" i="34"/>
  <c r="AA2282" i="34"/>
  <c r="P2282" i="34"/>
  <c r="X2282" i="34"/>
  <c r="Q2282" i="34"/>
  <c r="R2282" i="34"/>
  <c r="V2282" i="34"/>
  <c r="AA2286" i="34"/>
  <c r="P2286" i="34"/>
  <c r="X2286" i="34"/>
  <c r="Q2286" i="34"/>
  <c r="R2286" i="34"/>
  <c r="V2286" i="34"/>
  <c r="AA2290" i="34"/>
  <c r="P2290" i="34"/>
  <c r="X2290" i="34"/>
  <c r="Q2290" i="34"/>
  <c r="R2290" i="34"/>
  <c r="V2290" i="34"/>
  <c r="AA1739" i="34"/>
  <c r="P1739" i="34"/>
  <c r="X1739" i="34"/>
  <c r="Q1739" i="34"/>
  <c r="R1739" i="34"/>
  <c r="V1739" i="34"/>
  <c r="AA1743" i="34"/>
  <c r="P1743" i="34"/>
  <c r="X1743" i="34"/>
  <c r="Q1743" i="34"/>
  <c r="R1743" i="34"/>
  <c r="V1743" i="34"/>
  <c r="Q1076" i="34"/>
  <c r="R1076" i="34"/>
  <c r="V1076" i="34"/>
  <c r="AA1076" i="34"/>
  <c r="P1076" i="34"/>
  <c r="X1076" i="34"/>
  <c r="Q1188" i="34"/>
  <c r="R1188" i="34"/>
  <c r="V1188" i="34"/>
  <c r="AA1188" i="34"/>
  <c r="P1188" i="34"/>
  <c r="X1188" i="34"/>
  <c r="AA2208" i="34"/>
  <c r="P2208" i="34"/>
  <c r="X2208" i="34"/>
  <c r="Q2208" i="34"/>
  <c r="R2208" i="34"/>
  <c r="V2208" i="34"/>
  <c r="AA2212" i="34"/>
  <c r="P2212" i="34"/>
  <c r="X2212" i="34"/>
  <c r="Q2212" i="34"/>
  <c r="R2212" i="34"/>
  <c r="V2212" i="34"/>
  <c r="AA2216" i="34"/>
  <c r="P2216" i="34"/>
  <c r="X2216" i="34"/>
  <c r="Q2216" i="34"/>
  <c r="R2216" i="34"/>
  <c r="V2216" i="34"/>
  <c r="Q1652" i="34"/>
  <c r="R1652" i="34"/>
  <c r="V1652" i="34"/>
  <c r="AA1652" i="34"/>
  <c r="P1652" i="34"/>
  <c r="X1652" i="34"/>
  <c r="Q1678" i="34"/>
  <c r="R1678" i="34"/>
  <c r="V1678" i="34"/>
  <c r="AA1678" i="34"/>
  <c r="P1678" i="34"/>
  <c r="X1678" i="34"/>
  <c r="Q1682" i="34"/>
  <c r="R1682" i="34"/>
  <c r="V1682" i="34"/>
  <c r="AA1682" i="34"/>
  <c r="P1682" i="34"/>
  <c r="X1682" i="34"/>
  <c r="AA1703" i="34"/>
  <c r="P1703" i="34"/>
  <c r="X1703" i="34"/>
  <c r="Q1703" i="34"/>
  <c r="R1703" i="34"/>
  <c r="V1703" i="34"/>
  <c r="AA1707" i="34"/>
  <c r="P1707" i="34"/>
  <c r="X1707" i="34"/>
  <c r="Q1707" i="34"/>
  <c r="R1707" i="34"/>
  <c r="V1707" i="34"/>
  <c r="Q1734" i="34"/>
  <c r="R1734" i="34"/>
  <c r="V1734" i="34"/>
  <c r="AA1734" i="34"/>
  <c r="P1734" i="34"/>
  <c r="X1734" i="34"/>
  <c r="AA979" i="34"/>
  <c r="P979" i="34"/>
  <c r="X979" i="34"/>
  <c r="Q979" i="34"/>
  <c r="R979" i="34"/>
  <c r="V979" i="34"/>
  <c r="S1267" i="34"/>
  <c r="AA1267" i="34"/>
  <c r="P1267" i="34"/>
  <c r="T1267" i="34"/>
  <c r="X1267" i="34"/>
  <c r="Q1267" i="34"/>
  <c r="U1267" i="34"/>
  <c r="R1267" i="34"/>
  <c r="V1267" i="34"/>
  <c r="S1271" i="34"/>
  <c r="AA1271" i="34"/>
  <c r="P1271" i="34"/>
  <c r="T1271" i="34"/>
  <c r="X1271" i="34"/>
  <c r="Q1271" i="34"/>
  <c r="U1271" i="34"/>
  <c r="R1271" i="34"/>
  <c r="V1271" i="34"/>
  <c r="Q1298" i="34"/>
  <c r="U1298" i="34"/>
  <c r="R1298" i="34"/>
  <c r="V1298" i="34"/>
  <c r="S1298" i="34"/>
  <c r="AA1298" i="34"/>
  <c r="P1298" i="34"/>
  <c r="T1298" i="34"/>
  <c r="X1298" i="34"/>
  <c r="Q1302" i="34"/>
  <c r="U1302" i="34"/>
  <c r="R1302" i="34"/>
  <c r="V1302" i="34"/>
  <c r="S1302" i="34"/>
  <c r="AA1302" i="34"/>
  <c r="P1302" i="34"/>
  <c r="T1302" i="34"/>
  <c r="X1302" i="34"/>
  <c r="AA1321" i="34"/>
  <c r="P1321" i="34"/>
  <c r="X1321" i="34"/>
  <c r="Q1321" i="34"/>
  <c r="R1321" i="34"/>
  <c r="V1321" i="34"/>
  <c r="Q1144" i="34"/>
  <c r="R1144" i="34"/>
  <c r="V1144" i="34"/>
  <c r="AA1144" i="34"/>
  <c r="P1144" i="34"/>
  <c r="X1144" i="34"/>
  <c r="Q992" i="34"/>
  <c r="R992" i="34"/>
  <c r="V992" i="34"/>
  <c r="AA992" i="34"/>
  <c r="P992" i="34"/>
  <c r="X992" i="34"/>
  <c r="Q996" i="34"/>
  <c r="R996" i="34"/>
  <c r="V996" i="34"/>
  <c r="AA996" i="34"/>
  <c r="P996" i="34"/>
  <c r="X996" i="34"/>
  <c r="R1030" i="34"/>
  <c r="V1030" i="34"/>
  <c r="P1030" i="34"/>
  <c r="X1030" i="34"/>
  <c r="Q1030" i="34"/>
  <c r="AA1030" i="34"/>
  <c r="P1035" i="34"/>
  <c r="X1035" i="34"/>
  <c r="R1035" i="34"/>
  <c r="V1035" i="34"/>
  <c r="AA1035" i="34"/>
  <c r="Q1035" i="34"/>
  <c r="AA943" i="34"/>
  <c r="P943" i="34"/>
  <c r="X943" i="34"/>
  <c r="Q943" i="34"/>
  <c r="R943" i="34"/>
  <c r="V943" i="34"/>
  <c r="AA1677" i="34"/>
  <c r="P1677" i="34"/>
  <c r="X1677" i="34"/>
  <c r="Q1677" i="34"/>
  <c r="R1677" i="34"/>
  <c r="V1677" i="34"/>
  <c r="AA1143" i="34"/>
  <c r="P1143" i="34"/>
  <c r="X1143" i="34"/>
  <c r="Q1143" i="34"/>
  <c r="R1143" i="34"/>
  <c r="V1143" i="34"/>
  <c r="Q1176" i="34"/>
  <c r="R1176" i="34"/>
  <c r="V1176" i="34"/>
  <c r="AA1176" i="34"/>
  <c r="P1176" i="34"/>
  <c r="X1176" i="34"/>
  <c r="Q1676" i="34"/>
  <c r="R1676" i="34"/>
  <c r="V1676" i="34"/>
  <c r="AA1676" i="34"/>
  <c r="P1676" i="34"/>
  <c r="X1676" i="34"/>
  <c r="S1295" i="34"/>
  <c r="AA1295" i="34"/>
  <c r="P1295" i="34"/>
  <c r="T1295" i="34"/>
  <c r="X1295" i="34"/>
  <c r="Q1295" i="34"/>
  <c r="U1295" i="34"/>
  <c r="R1295" i="34"/>
  <c r="V1295" i="34"/>
  <c r="Q1264" i="34"/>
  <c r="U1264" i="34"/>
  <c r="R1264" i="34"/>
  <c r="V1264" i="34"/>
  <c r="S1264" i="34"/>
  <c r="AA1264" i="34"/>
  <c r="P1264" i="34"/>
  <c r="T1264" i="34"/>
  <c r="X1264" i="34"/>
  <c r="AA991" i="34"/>
  <c r="P991" i="34"/>
  <c r="X991" i="34"/>
  <c r="Q991" i="34"/>
  <c r="R991" i="34"/>
  <c r="V991" i="34"/>
  <c r="Q986" i="34"/>
  <c r="R986" i="34"/>
  <c r="V986" i="34"/>
  <c r="AA986" i="34"/>
  <c r="P986" i="34"/>
  <c r="X986" i="34"/>
  <c r="AA949" i="34"/>
  <c r="P949" i="34"/>
  <c r="X949" i="34"/>
  <c r="Q949" i="34"/>
  <c r="R949" i="34"/>
  <c r="V949" i="34"/>
  <c r="Q940" i="34"/>
  <c r="R940" i="34"/>
  <c r="V940" i="34"/>
  <c r="AA940" i="34"/>
  <c r="P940" i="34"/>
  <c r="X940" i="34"/>
  <c r="Q1230" i="34"/>
  <c r="R1230" i="34"/>
  <c r="V1230" i="34"/>
  <c r="AA1230" i="34"/>
  <c r="P1230" i="34"/>
  <c r="X1230" i="34"/>
  <c r="Q1224" i="34"/>
  <c r="R1224" i="34"/>
  <c r="V1224" i="34"/>
  <c r="AA1224" i="34"/>
  <c r="P1224" i="34"/>
  <c r="X1224" i="34"/>
  <c r="AA1121" i="34"/>
  <c r="P1121" i="34"/>
  <c r="X1121" i="34"/>
  <c r="Q1121" i="34"/>
  <c r="R1121" i="34"/>
  <c r="V1121" i="34"/>
  <c r="Q1110" i="34"/>
  <c r="R1110" i="34"/>
  <c r="V1110" i="34"/>
  <c r="AA1110" i="34"/>
  <c r="P1110" i="34"/>
  <c r="X1110" i="34"/>
  <c r="Q966" i="34"/>
  <c r="R966" i="34"/>
  <c r="V966" i="34"/>
  <c r="AA966" i="34"/>
  <c r="P966" i="34"/>
  <c r="X966" i="34"/>
  <c r="Q962" i="34"/>
  <c r="R962" i="34"/>
  <c r="V962" i="34"/>
  <c r="AA962" i="34"/>
  <c r="P962" i="34"/>
  <c r="X962" i="34"/>
  <c r="AA1065" i="34"/>
  <c r="P1065" i="34"/>
  <c r="X1065" i="34"/>
  <c r="Q1065" i="34"/>
  <c r="R1065" i="34"/>
  <c r="V1065" i="34"/>
  <c r="AA1051" i="34"/>
  <c r="P1051" i="34"/>
  <c r="X1051" i="34"/>
  <c r="Q1051" i="34"/>
  <c r="R1051" i="34"/>
  <c r="V1051" i="34"/>
  <c r="AA1061" i="34"/>
  <c r="P1061" i="34"/>
  <c r="X1061" i="34"/>
  <c r="Q1061" i="34"/>
  <c r="R1061" i="34"/>
  <c r="V1061" i="34"/>
  <c r="AA1047" i="34"/>
  <c r="P1047" i="34"/>
  <c r="X1047" i="34"/>
  <c r="Q1047" i="34"/>
  <c r="R1047" i="34"/>
  <c r="V1047" i="34"/>
  <c r="AA311" i="34"/>
  <c r="P311" i="34"/>
  <c r="X311" i="34"/>
  <c r="Q311" i="34"/>
  <c r="R311" i="34"/>
  <c r="V311" i="34"/>
  <c r="AA315" i="34"/>
  <c r="P315" i="34"/>
  <c r="X315" i="34"/>
  <c r="Q315" i="34"/>
  <c r="R315" i="34"/>
  <c r="V315" i="34"/>
  <c r="AA319" i="34"/>
  <c r="P319" i="34"/>
  <c r="X319" i="34"/>
  <c r="Q319" i="34"/>
  <c r="R319" i="34"/>
  <c r="V319" i="34"/>
  <c r="AA323" i="34"/>
  <c r="P323" i="34"/>
  <c r="X323" i="34"/>
  <c r="R323" i="34"/>
  <c r="V323" i="34"/>
  <c r="Q323" i="34"/>
  <c r="AA327" i="34"/>
  <c r="P327" i="34"/>
  <c r="X327" i="34"/>
  <c r="R327" i="34"/>
  <c r="V327" i="34"/>
  <c r="Q327" i="34"/>
  <c r="AA331" i="34"/>
  <c r="P331" i="34"/>
  <c r="X331" i="34"/>
  <c r="R331" i="34"/>
  <c r="V331" i="34"/>
  <c r="Q331" i="34"/>
  <c r="P335" i="34"/>
  <c r="X335" i="34"/>
  <c r="R335" i="34"/>
  <c r="V335" i="34"/>
  <c r="AA335" i="34"/>
  <c r="Q335" i="34"/>
  <c r="P339" i="34"/>
  <c r="X339" i="34"/>
  <c r="R339" i="34"/>
  <c r="V339" i="34"/>
  <c r="AA339" i="34"/>
  <c r="Q339" i="34"/>
  <c r="Q430" i="34"/>
  <c r="R430" i="34"/>
  <c r="V430" i="34"/>
  <c r="AA430" i="34"/>
  <c r="P430" i="34"/>
  <c r="X430" i="34"/>
  <c r="Q434" i="34"/>
  <c r="R434" i="34"/>
  <c r="V434" i="34"/>
  <c r="AA434" i="34"/>
  <c r="P434" i="34"/>
  <c r="X434" i="34"/>
  <c r="Q438" i="34"/>
  <c r="R438" i="34"/>
  <c r="V438" i="34"/>
  <c r="AA438" i="34"/>
  <c r="P438" i="34"/>
  <c r="X438" i="34"/>
  <c r="Q442" i="34"/>
  <c r="R442" i="34"/>
  <c r="V442" i="34"/>
  <c r="AA442" i="34"/>
  <c r="P442" i="34"/>
  <c r="X442" i="34"/>
  <c r="Q446" i="34"/>
  <c r="R446" i="34"/>
  <c r="V446" i="34"/>
  <c r="AA446" i="34"/>
  <c r="P446" i="34"/>
  <c r="X446" i="34"/>
  <c r="R450" i="34"/>
  <c r="V450" i="34"/>
  <c r="AA450" i="34"/>
  <c r="P450" i="34"/>
  <c r="X450" i="34"/>
  <c r="Q450" i="34"/>
  <c r="R454" i="34"/>
  <c r="V454" i="34"/>
  <c r="AA454" i="34"/>
  <c r="P454" i="34"/>
  <c r="X454" i="34"/>
  <c r="Q454" i="34"/>
  <c r="R458" i="34"/>
  <c r="V458" i="34"/>
  <c r="AA458" i="34"/>
  <c r="P458" i="34"/>
  <c r="X458" i="34"/>
  <c r="Q458" i="34"/>
  <c r="R462" i="34"/>
  <c r="V462" i="34"/>
  <c r="AA462" i="34"/>
  <c r="P462" i="34"/>
  <c r="X462" i="34"/>
  <c r="Q462" i="34"/>
  <c r="R466" i="34"/>
  <c r="V466" i="34"/>
  <c r="AA466" i="34"/>
  <c r="P466" i="34"/>
  <c r="X466" i="34"/>
  <c r="Q466" i="34"/>
  <c r="P531" i="34"/>
  <c r="X531" i="34"/>
  <c r="Q531" i="34"/>
  <c r="R531" i="34"/>
  <c r="V531" i="34"/>
  <c r="AA531" i="34"/>
  <c r="Q844" i="34"/>
  <c r="R844" i="34"/>
  <c r="V844" i="34"/>
  <c r="AA844" i="34"/>
  <c r="P844" i="34"/>
  <c r="X844" i="34"/>
  <c r="Q848" i="34"/>
  <c r="R848" i="34"/>
  <c r="V848" i="34"/>
  <c r="AA848" i="34"/>
  <c r="P848" i="34"/>
  <c r="X848" i="34"/>
  <c r="Q852" i="34"/>
  <c r="R852" i="34"/>
  <c r="V852" i="34"/>
  <c r="AA852" i="34"/>
  <c r="P852" i="34"/>
  <c r="X852" i="34"/>
  <c r="Q856" i="34"/>
  <c r="R856" i="34"/>
  <c r="V856" i="34"/>
  <c r="P856" i="34"/>
  <c r="X856" i="34"/>
  <c r="AA856" i="34"/>
  <c r="Q860" i="34"/>
  <c r="R860" i="34"/>
  <c r="V860" i="34"/>
  <c r="P860" i="34"/>
  <c r="X860" i="34"/>
  <c r="AA860" i="34"/>
  <c r="Q864" i="34"/>
  <c r="P864" i="34"/>
  <c r="X864" i="34"/>
  <c r="R864" i="34"/>
  <c r="V864" i="34"/>
  <c r="AA864" i="34"/>
  <c r="P868" i="34"/>
  <c r="X868" i="34"/>
  <c r="Q868" i="34"/>
  <c r="R868" i="34"/>
  <c r="V868" i="34"/>
  <c r="AA868" i="34"/>
  <c r="P872" i="34"/>
  <c r="X872" i="34"/>
  <c r="Q872" i="34"/>
  <c r="R872" i="34"/>
  <c r="V872" i="34"/>
  <c r="AA872" i="34"/>
  <c r="Q876" i="34"/>
  <c r="R876" i="34"/>
  <c r="V876" i="34"/>
  <c r="AA876" i="34"/>
  <c r="P876" i="34"/>
  <c r="X876" i="34"/>
  <c r="Q880" i="34"/>
  <c r="R880" i="34"/>
  <c r="V880" i="34"/>
  <c r="AA880" i="34"/>
  <c r="P880" i="34"/>
  <c r="X880" i="34"/>
  <c r="Q884" i="34"/>
  <c r="R884" i="34"/>
  <c r="V884" i="34"/>
  <c r="AA884" i="34"/>
  <c r="P884" i="34"/>
  <c r="X884" i="34"/>
  <c r="Q888" i="34"/>
  <c r="R888" i="34"/>
  <c r="V888" i="34"/>
  <c r="AA888" i="34"/>
  <c r="P888" i="34"/>
  <c r="X888" i="34"/>
  <c r="Q892" i="34"/>
  <c r="R892" i="34"/>
  <c r="V892" i="34"/>
  <c r="AA892" i="34"/>
  <c r="P892" i="34"/>
  <c r="X892" i="34"/>
  <c r="Q896" i="34"/>
  <c r="R896" i="34"/>
  <c r="V896" i="34"/>
  <c r="AA896" i="34"/>
  <c r="P896" i="34"/>
  <c r="X896" i="34"/>
  <c r="Q900" i="34"/>
  <c r="R900" i="34"/>
  <c r="V900" i="34"/>
  <c r="AA900" i="34"/>
  <c r="P900" i="34"/>
  <c r="X900" i="34"/>
  <c r="Q906" i="34"/>
  <c r="R906" i="34"/>
  <c r="V906" i="34"/>
  <c r="AA906" i="34"/>
  <c r="P906" i="34"/>
  <c r="X906" i="34"/>
  <c r="Q910" i="34"/>
  <c r="R910" i="34"/>
  <c r="V910" i="34"/>
  <c r="AA910" i="34"/>
  <c r="P910" i="34"/>
  <c r="X910" i="34"/>
  <c r="AA953" i="34"/>
  <c r="P953" i="34"/>
  <c r="X953" i="34"/>
  <c r="Q953" i="34"/>
  <c r="R953" i="34"/>
  <c r="V953" i="34"/>
  <c r="A959" i="34"/>
  <c r="A1183" i="34"/>
  <c r="A1201" i="34"/>
  <c r="A1423" i="34"/>
  <c r="A1427" i="34"/>
  <c r="A1431" i="34"/>
  <c r="A1266" i="34"/>
  <c r="A1270" i="34"/>
  <c r="A1296" i="34"/>
  <c r="A1301" i="34"/>
  <c r="A1319" i="34"/>
  <c r="A1322" i="34"/>
  <c r="A1235" i="34"/>
  <c r="A1153" i="34"/>
  <c r="A994" i="34"/>
  <c r="A998" i="34"/>
  <c r="A1032" i="34"/>
  <c r="A1037" i="34"/>
  <c r="A977" i="34"/>
  <c r="A1125" i="34"/>
  <c r="A1169" i="34"/>
  <c r="A1233" i="34"/>
  <c r="A1406" i="34"/>
  <c r="A1402" i="34"/>
  <c r="A1398" i="34"/>
  <c r="A1394" i="34"/>
  <c r="A1380" i="34"/>
  <c r="A1376" i="34"/>
  <c r="A1370" i="34"/>
  <c r="A1366" i="34"/>
  <c r="A1357" i="34"/>
  <c r="A1293" i="34"/>
  <c r="A1260" i="34"/>
  <c r="A988" i="34"/>
  <c r="A984" i="34"/>
  <c r="A946" i="34"/>
  <c r="A938" i="34"/>
  <c r="A1227" i="34"/>
  <c r="A1123" i="34"/>
  <c r="A1117" i="34"/>
  <c r="A1108" i="34"/>
  <c r="A964" i="34"/>
  <c r="A960" i="34"/>
  <c r="A1056" i="34"/>
  <c r="A1063" i="34"/>
  <c r="A1049" i="34"/>
  <c r="A310" i="34"/>
  <c r="A314" i="34"/>
  <c r="A320" i="34"/>
  <c r="A324" i="34"/>
  <c r="A328" i="34"/>
  <c r="A332" i="34"/>
  <c r="A336" i="34"/>
  <c r="A340" i="34"/>
  <c r="A431" i="34"/>
  <c r="A435" i="34"/>
  <c r="A439" i="34"/>
  <c r="A443" i="34"/>
  <c r="A447" i="34"/>
  <c r="A451" i="34"/>
  <c r="A455" i="34"/>
  <c r="A460" i="34"/>
  <c r="A464" i="34"/>
  <c r="A532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7" i="34"/>
  <c r="A914" i="34"/>
  <c r="A1029" i="34"/>
  <c r="A1185" i="34"/>
  <c r="A1202" i="34"/>
  <c r="A1424" i="34"/>
  <c r="A1428" i="34"/>
  <c r="A979" i="34"/>
  <c r="A1267" i="34"/>
  <c r="A1271" i="34"/>
  <c r="A1298" i="34"/>
  <c r="A1302" i="34"/>
  <c r="A1320" i="34"/>
  <c r="A1338" i="34"/>
  <c r="A1119" i="34"/>
  <c r="A1155" i="34"/>
  <c r="A995" i="34"/>
  <c r="A999" i="34"/>
  <c r="A1033" i="34"/>
  <c r="A1038" i="34"/>
  <c r="A978" i="34"/>
  <c r="A1142" i="34"/>
  <c r="A1174" i="34"/>
  <c r="A1053" i="34"/>
  <c r="A1405" i="34"/>
  <c r="A1401" i="34"/>
  <c r="A1397" i="34"/>
  <c r="A1393" i="34"/>
  <c r="A1379" i="34"/>
  <c r="A1375" i="34"/>
  <c r="A1369" i="34"/>
  <c r="A1365" i="34"/>
  <c r="A1318" i="34"/>
  <c r="A1265" i="34"/>
  <c r="A1259" i="34"/>
  <c r="A987" i="34"/>
  <c r="A982" i="34"/>
  <c r="A942" i="34"/>
  <c r="A937" i="34"/>
  <c r="A1225" i="34"/>
  <c r="A1122" i="34"/>
  <c r="A1111" i="34"/>
  <c r="A1107" i="34"/>
  <c r="A963" i="34"/>
  <c r="A1079" i="34"/>
  <c r="A1055" i="34"/>
  <c r="A1062" i="34"/>
  <c r="A1048" i="34"/>
  <c r="A311" i="34"/>
  <c r="A315" i="34"/>
  <c r="A317" i="34"/>
  <c r="A321" i="34"/>
  <c r="A325" i="34"/>
  <c r="A329" i="34"/>
  <c r="A333" i="34"/>
  <c r="A337" i="34"/>
  <c r="A341" i="34"/>
  <c r="A432" i="34"/>
  <c r="A436" i="34"/>
  <c r="A440" i="34"/>
  <c r="A444" i="34"/>
  <c r="A448" i="34"/>
  <c r="A452" i="34"/>
  <c r="A456" i="34"/>
  <c r="A457" i="34"/>
  <c r="A461" i="34"/>
  <c r="A465" i="34"/>
  <c r="A468" i="34"/>
  <c r="A540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8" i="34"/>
  <c r="A915" i="34"/>
  <c r="A1076" i="34"/>
  <c r="A1188" i="34"/>
  <c r="A1346" i="34"/>
  <c r="A1425" i="34"/>
  <c r="A1429" i="34"/>
  <c r="A912" i="34"/>
  <c r="A1268" i="34"/>
  <c r="A1272" i="34"/>
  <c r="A1299" i="34"/>
  <c r="A1321" i="34"/>
  <c r="A1339" i="34"/>
  <c r="A1144" i="34"/>
  <c r="A992" i="34"/>
  <c r="A996" i="34"/>
  <c r="A1030" i="34"/>
  <c r="A1035" i="34"/>
  <c r="A943" i="34"/>
  <c r="A1143" i="34"/>
  <c r="A1176" i="34"/>
  <c r="A1404" i="34"/>
  <c r="A1400" i="34"/>
  <c r="A1396" i="34"/>
  <c r="A1392" i="34"/>
  <c r="A1378" i="34"/>
  <c r="A1374" i="34"/>
  <c r="A1368" i="34"/>
  <c r="A1364" i="34"/>
  <c r="A1295" i="34"/>
  <c r="A1264" i="34"/>
  <c r="A991" i="34"/>
  <c r="A986" i="34"/>
  <c r="A949" i="34"/>
  <c r="A940" i="34"/>
  <c r="A1230" i="34"/>
  <c r="A1224" i="34"/>
  <c r="A1121" i="34"/>
  <c r="A1110" i="34"/>
  <c r="A966" i="34"/>
  <c r="A962" i="34"/>
  <c r="A1065" i="34"/>
  <c r="A1051" i="34"/>
  <c r="A1061" i="34"/>
  <c r="A1047" i="34"/>
  <c r="A312" i="34"/>
  <c r="A316" i="34"/>
  <c r="A318" i="34"/>
  <c r="A322" i="34"/>
  <c r="A326" i="34"/>
  <c r="A330" i="34"/>
  <c r="A334" i="34"/>
  <c r="A338" i="34"/>
  <c r="A429" i="34"/>
  <c r="A433" i="34"/>
  <c r="A437" i="34"/>
  <c r="A441" i="34"/>
  <c r="A445" i="34"/>
  <c r="A449" i="34"/>
  <c r="A453" i="34"/>
  <c r="A458" i="34"/>
  <c r="A462" i="34"/>
  <c r="A466" i="34"/>
  <c r="A530" i="34"/>
  <c r="A541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4" i="34"/>
  <c r="A909" i="34"/>
  <c r="A916" i="34"/>
  <c r="A1077" i="34"/>
  <c r="A1190" i="34"/>
  <c r="A1385" i="34"/>
  <c r="A1426" i="34"/>
  <c r="A1430" i="34"/>
  <c r="A913" i="34"/>
  <c r="A1269" i="34"/>
  <c r="A1273" i="34"/>
  <c r="A1300" i="34"/>
  <c r="A1303" i="34"/>
  <c r="A1340" i="34"/>
  <c r="A1146" i="34"/>
  <c r="A993" i="34"/>
  <c r="A997" i="34"/>
  <c r="A1031" i="34"/>
  <c r="A1036" i="34"/>
  <c r="A944" i="34"/>
  <c r="A1124" i="34"/>
  <c r="A1167" i="34"/>
  <c r="A1232" i="34"/>
  <c r="A1407" i="34"/>
  <c r="A1403" i="34"/>
  <c r="A1399" i="34"/>
  <c r="A1395" i="34"/>
  <c r="A1381" i="34"/>
  <c r="A1377" i="34"/>
  <c r="A1371" i="34"/>
  <c r="A1367" i="34"/>
  <c r="A1363" i="34"/>
  <c r="A1294" i="34"/>
  <c r="A1262" i="34"/>
  <c r="A990" i="34"/>
  <c r="A985" i="34"/>
  <c r="A948" i="34"/>
  <c r="A939" i="34"/>
  <c r="A1229" i="34"/>
  <c r="A1223" i="34"/>
  <c r="A1118" i="34"/>
  <c r="A1109" i="34"/>
  <c r="A965" i="34"/>
  <c r="A961" i="34"/>
  <c r="A1064" i="34"/>
  <c r="A1050" i="34"/>
  <c r="A1060" i="34"/>
  <c r="A1054" i="34"/>
  <c r="A309" i="34"/>
  <c r="A313" i="34"/>
  <c r="A319" i="34"/>
  <c r="A323" i="34"/>
  <c r="A327" i="34"/>
  <c r="A331" i="34"/>
  <c r="A335" i="34"/>
  <c r="A339" i="34"/>
  <c r="A430" i="34"/>
  <c r="A434" i="34"/>
  <c r="A438" i="34"/>
  <c r="A442" i="34"/>
  <c r="A446" i="34"/>
  <c r="A450" i="34"/>
  <c r="A454" i="34"/>
  <c r="A459" i="34"/>
  <c r="A463" i="34"/>
  <c r="A467" i="34"/>
  <c r="A531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6" i="34"/>
  <c r="A910" i="34"/>
  <c r="A953" i="34"/>
  <c r="A1768" i="34"/>
  <c r="A2273" i="34"/>
  <c r="A2277" i="34"/>
  <c r="A2281" i="34"/>
  <c r="A2285" i="34"/>
  <c r="A2289" i="34"/>
  <c r="A1740" i="34"/>
  <c r="A1744" i="34"/>
  <c r="A2209" i="34"/>
  <c r="A2213" i="34"/>
  <c r="A2271" i="34"/>
  <c r="A1652" i="34"/>
  <c r="A1678" i="34"/>
  <c r="A1682" i="34"/>
  <c r="A1703" i="34"/>
  <c r="A1707" i="34"/>
  <c r="A1734" i="34"/>
  <c r="A1487" i="34"/>
  <c r="A1491" i="34"/>
  <c r="A1518" i="34"/>
  <c r="A1522" i="34"/>
  <c r="A1590" i="34"/>
  <c r="A1594" i="34"/>
  <c r="A1632" i="34"/>
  <c r="A1452" i="34"/>
  <c r="A1456" i="34"/>
  <c r="A1481" i="34"/>
  <c r="A1485" i="34"/>
  <c r="A1677" i="34"/>
  <c r="A1631" i="34"/>
  <c r="A1627" i="34"/>
  <c r="A1616" i="34"/>
  <c r="A1612" i="34"/>
  <c r="A1579" i="34"/>
  <c r="A1575" i="34"/>
  <c r="A1554" i="34"/>
  <c r="A1550" i="34"/>
  <c r="A1546" i="34"/>
  <c r="A1541" i="34"/>
  <c r="A1537" i="34"/>
  <c r="A1473" i="34"/>
  <c r="A1469" i="34"/>
  <c r="A1767" i="34"/>
  <c r="A2013" i="34"/>
  <c r="A2274" i="34"/>
  <c r="A2278" i="34"/>
  <c r="A2282" i="34"/>
  <c r="A2286" i="34"/>
  <c r="A2290" i="34"/>
  <c r="A1741" i="34"/>
  <c r="A2210" i="34"/>
  <c r="A2214" i="34"/>
  <c r="A1649" i="34"/>
  <c r="A1653" i="34"/>
  <c r="A1679" i="34"/>
  <c r="A1683" i="34"/>
  <c r="A1704" i="34"/>
  <c r="A1708" i="34"/>
  <c r="A1735" i="34"/>
  <c r="A1488" i="34"/>
  <c r="A1492" i="34"/>
  <c r="A1519" i="34"/>
  <c r="A1523" i="34"/>
  <c r="A1591" i="34"/>
  <c r="A1595" i="34"/>
  <c r="A1647" i="34"/>
  <c r="A1453" i="34"/>
  <c r="A1457" i="34"/>
  <c r="A1482" i="34"/>
  <c r="A1486" i="34"/>
  <c r="A1676" i="34"/>
  <c r="A1630" i="34"/>
  <c r="A1626" i="34"/>
  <c r="A1615" i="34"/>
  <c r="A1611" i="34"/>
  <c r="A1578" i="34"/>
  <c r="A1574" i="34"/>
  <c r="A1553" i="34"/>
  <c r="A1549" i="34"/>
  <c r="A1545" i="34"/>
  <c r="A1540" i="34"/>
  <c r="A1536" i="34"/>
  <c r="A1472" i="34"/>
  <c r="A1468" i="34"/>
  <c r="A1999" i="34"/>
  <c r="A2275" i="34"/>
  <c r="A2279" i="34"/>
  <c r="A2283" i="34"/>
  <c r="A2287" i="34"/>
  <c r="A2291" i="34"/>
  <c r="A1738" i="34"/>
  <c r="A1742" i="34"/>
  <c r="A2211" i="34"/>
  <c r="A2215" i="34"/>
  <c r="A1650" i="34"/>
  <c r="A1654" i="34"/>
  <c r="A1680" i="34"/>
  <c r="A1684" i="34"/>
  <c r="A1705" i="34"/>
  <c r="A1709" i="34"/>
  <c r="A1736" i="34"/>
  <c r="A1489" i="34"/>
  <c r="A1493" i="34"/>
  <c r="A1520" i="34"/>
  <c r="A1524" i="34"/>
  <c r="A1592" i="34"/>
  <c r="A1596" i="34"/>
  <c r="A1648" i="34"/>
  <c r="A1450" i="34"/>
  <c r="A1454" i="34"/>
  <c r="A1483" i="34"/>
  <c r="A1675" i="34"/>
  <c r="A1629" i="34"/>
  <c r="A1625" i="34"/>
  <c r="A1614" i="34"/>
  <c r="A1610" i="34"/>
  <c r="A1577" i="34"/>
  <c r="A1573" i="34"/>
  <c r="A1552" i="34"/>
  <c r="A1548" i="34"/>
  <c r="A1543" i="34"/>
  <c r="A1539" i="34"/>
  <c r="A1535" i="34"/>
  <c r="A1471" i="34"/>
  <c r="A1783" i="34"/>
  <c r="A2272" i="34"/>
  <c r="A2276" i="34"/>
  <c r="A2280" i="34"/>
  <c r="A2284" i="34"/>
  <c r="A2288" i="34"/>
  <c r="A2004" i="34"/>
  <c r="A1739" i="34"/>
  <c r="A1743" i="34"/>
  <c r="A2208" i="34"/>
  <c r="A2212" i="34"/>
  <c r="A2216" i="34"/>
  <c r="A1651" i="34"/>
  <c r="A1655" i="34"/>
  <c r="A1681" i="34"/>
  <c r="A1685" i="34"/>
  <c r="A1706" i="34"/>
  <c r="A1710" i="34"/>
  <c r="A1737" i="34"/>
  <c r="A1490" i="34"/>
  <c r="A1494" i="34"/>
  <c r="A1521" i="34"/>
  <c r="A1562" i="34"/>
  <c r="A1593" i="34"/>
  <c r="A1597" i="34"/>
  <c r="A1451" i="34"/>
  <c r="A1455" i="34"/>
  <c r="A1480" i="34"/>
  <c r="A1484" i="34"/>
  <c r="A1674" i="34"/>
  <c r="A1628" i="34"/>
  <c r="A1617" i="34"/>
  <c r="A1613" i="34"/>
  <c r="A1580" i="34"/>
  <c r="A1576" i="34"/>
  <c r="A1555" i="34"/>
  <c r="A1551" i="34"/>
  <c r="A1547" i="34"/>
  <c r="A1542" i="34"/>
  <c r="A1538" i="34"/>
  <c r="A1470" i="34"/>
  <c r="B1045" i="34" l="1"/>
  <c r="B754" i="34"/>
  <c r="B536" i="34"/>
  <c r="B523" i="34"/>
  <c r="P523" i="34" l="1"/>
  <c r="X523" i="34"/>
  <c r="Q523" i="34"/>
  <c r="R523" i="34"/>
  <c r="V523" i="34"/>
  <c r="AA523" i="34"/>
  <c r="Q754" i="34"/>
  <c r="R754" i="34"/>
  <c r="V754" i="34"/>
  <c r="AA754" i="34"/>
  <c r="P754" i="34"/>
  <c r="X754" i="34"/>
  <c r="AA1045" i="34"/>
  <c r="P1045" i="34"/>
  <c r="X1045" i="34"/>
  <c r="Q1045" i="34"/>
  <c r="R1045" i="34"/>
  <c r="V1045" i="34"/>
  <c r="R536" i="34"/>
  <c r="V536" i="34"/>
  <c r="AA536" i="34"/>
  <c r="P536" i="34"/>
  <c r="X536" i="34"/>
  <c r="Q536" i="34"/>
  <c r="A536" i="34"/>
  <c r="A754" i="34"/>
  <c r="A523" i="34"/>
  <c r="A1045" i="34"/>
  <c r="B1084" i="34" l="1"/>
  <c r="B1069" i="34"/>
  <c r="B927" i="34"/>
  <c r="B493" i="34"/>
  <c r="B488" i="34"/>
  <c r="B476" i="34"/>
  <c r="R476" i="34" l="1"/>
  <c r="V476" i="34"/>
  <c r="AA476" i="34"/>
  <c r="P476" i="34"/>
  <c r="X476" i="34"/>
  <c r="Q476" i="34"/>
  <c r="AA1069" i="34"/>
  <c r="P1069" i="34"/>
  <c r="X1069" i="34"/>
  <c r="Q1069" i="34"/>
  <c r="R1069" i="34"/>
  <c r="V1069" i="34"/>
  <c r="R488" i="34"/>
  <c r="V488" i="34"/>
  <c r="AA488" i="34"/>
  <c r="P488" i="34"/>
  <c r="X488" i="34"/>
  <c r="Q488" i="34"/>
  <c r="Q1084" i="34"/>
  <c r="R1084" i="34"/>
  <c r="V1084" i="34"/>
  <c r="AA1084" i="34"/>
  <c r="P1084" i="34"/>
  <c r="X1084" i="34"/>
  <c r="P493" i="34"/>
  <c r="X493" i="34"/>
  <c r="Q493" i="34"/>
  <c r="R493" i="34"/>
  <c r="V493" i="34"/>
  <c r="AA493" i="34"/>
  <c r="AA927" i="34"/>
  <c r="P927" i="34"/>
  <c r="X927" i="34"/>
  <c r="Q927" i="34"/>
  <c r="R927" i="34"/>
  <c r="V927" i="34"/>
  <c r="A927" i="34"/>
  <c r="A476" i="34"/>
  <c r="A1069" i="34"/>
  <c r="A488" i="34"/>
  <c r="A493" i="34"/>
  <c r="A1084" i="34"/>
  <c r="B365" i="34"/>
  <c r="B731" i="34"/>
  <c r="B718" i="34"/>
  <c r="Q718" i="34" l="1"/>
  <c r="R718" i="34"/>
  <c r="V718" i="34"/>
  <c r="AA718" i="34"/>
  <c r="P718" i="34"/>
  <c r="X718" i="34"/>
  <c r="AA731" i="34"/>
  <c r="P731" i="34"/>
  <c r="X731" i="34"/>
  <c r="Q731" i="34"/>
  <c r="R731" i="34"/>
  <c r="V731" i="34"/>
  <c r="AA365" i="34"/>
  <c r="P365" i="34"/>
  <c r="X365" i="34"/>
  <c r="Q365" i="34"/>
  <c r="R365" i="34"/>
  <c r="V365" i="34"/>
  <c r="A365" i="34"/>
  <c r="A718" i="34"/>
  <c r="A731" i="34"/>
  <c r="B588" i="34"/>
  <c r="B566" i="34"/>
  <c r="B106" i="34"/>
  <c r="B103" i="34"/>
  <c r="B99" i="34"/>
  <c r="B163" i="34"/>
  <c r="B202" i="34"/>
  <c r="B596" i="34"/>
  <c r="B693" i="34"/>
  <c r="R566" i="34" l="1"/>
  <c r="V566" i="34"/>
  <c r="AA566" i="34"/>
  <c r="P566" i="34"/>
  <c r="X566" i="34"/>
  <c r="Q566" i="34"/>
  <c r="R596" i="34"/>
  <c r="V596" i="34"/>
  <c r="AA596" i="34"/>
  <c r="P596" i="34"/>
  <c r="X596" i="34"/>
  <c r="Q596" i="34"/>
  <c r="R103" i="34"/>
  <c r="V103" i="34"/>
  <c r="AA103" i="34"/>
  <c r="P103" i="34"/>
  <c r="X103" i="34"/>
  <c r="Q103" i="34"/>
  <c r="Q202" i="34"/>
  <c r="R202" i="34"/>
  <c r="V202" i="34"/>
  <c r="AA202" i="34"/>
  <c r="P202" i="34"/>
  <c r="X202" i="34"/>
  <c r="P106" i="34"/>
  <c r="X106" i="34"/>
  <c r="Q106" i="34"/>
  <c r="R106" i="34"/>
  <c r="V106" i="34"/>
  <c r="AA106" i="34"/>
  <c r="P693" i="34"/>
  <c r="X693" i="34"/>
  <c r="Q693" i="34"/>
  <c r="R693" i="34"/>
  <c r="V693" i="34"/>
  <c r="AA693" i="34"/>
  <c r="Q163" i="34"/>
  <c r="R163" i="34"/>
  <c r="V163" i="34"/>
  <c r="AA163" i="34"/>
  <c r="P163" i="34"/>
  <c r="X163" i="34"/>
  <c r="R99" i="34"/>
  <c r="V99" i="34"/>
  <c r="AA99" i="34"/>
  <c r="P99" i="34"/>
  <c r="X99" i="34"/>
  <c r="Q99" i="34"/>
  <c r="R588" i="34"/>
  <c r="V588" i="34"/>
  <c r="AA588" i="34"/>
  <c r="P588" i="34"/>
  <c r="X588" i="34"/>
  <c r="Q588" i="34"/>
  <c r="A106" i="34"/>
  <c r="A163" i="34"/>
  <c r="A693" i="34"/>
  <c r="A99" i="34"/>
  <c r="A588" i="34"/>
  <c r="A596" i="34"/>
  <c r="A103" i="34"/>
  <c r="A202" i="34"/>
  <c r="A566" i="34"/>
  <c r="O5" i="78"/>
  <c r="N5" i="78"/>
  <c r="B154" i="34"/>
  <c r="B149" i="34"/>
  <c r="B146" i="34"/>
  <c r="AA146" i="34" l="1"/>
  <c r="P146" i="34"/>
  <c r="X146" i="34"/>
  <c r="Q146" i="34"/>
  <c r="R146" i="34"/>
  <c r="V146" i="34"/>
  <c r="Q149" i="34"/>
  <c r="R149" i="34"/>
  <c r="V149" i="34"/>
  <c r="AA149" i="34"/>
  <c r="P149" i="34"/>
  <c r="X149" i="34"/>
  <c r="AA154" i="34"/>
  <c r="P154" i="34"/>
  <c r="X154" i="34"/>
  <c r="Q154" i="34"/>
  <c r="R154" i="34"/>
  <c r="V154" i="34"/>
  <c r="A146" i="34"/>
  <c r="A154" i="34"/>
  <c r="A149" i="34"/>
  <c r="B210" i="34"/>
  <c r="B209" i="34"/>
  <c r="B208" i="34"/>
  <c r="B207" i="34"/>
  <c r="B206" i="34"/>
  <c r="B205" i="34"/>
  <c r="B199" i="34"/>
  <c r="B198" i="34"/>
  <c r="B197" i="34"/>
  <c r="B196" i="34"/>
  <c r="B195" i="34"/>
  <c r="B194" i="34"/>
  <c r="B193" i="34"/>
  <c r="B192" i="34"/>
  <c r="B188" i="34"/>
  <c r="B187" i="34"/>
  <c r="B186" i="34"/>
  <c r="B185" i="34"/>
  <c r="B184" i="34"/>
  <c r="B183" i="34"/>
  <c r="B182" i="34"/>
  <c r="B181" i="34"/>
  <c r="B180" i="34"/>
  <c r="B162" i="34"/>
  <c r="B161" i="34"/>
  <c r="B160" i="34"/>
  <c r="B159" i="34"/>
  <c r="B158" i="34"/>
  <c r="B157" i="34"/>
  <c r="B156" i="34"/>
  <c r="B155" i="34"/>
  <c r="B151" i="34"/>
  <c r="B150" i="34"/>
  <c r="B148" i="34"/>
  <c r="B147" i="34"/>
  <c r="B145" i="34"/>
  <c r="B144" i="34"/>
  <c r="B143" i="34"/>
  <c r="B717" i="34"/>
  <c r="B716" i="34"/>
  <c r="B715" i="34"/>
  <c r="B692" i="34"/>
  <c r="B691" i="34"/>
  <c r="B690" i="34"/>
  <c r="B689" i="34"/>
  <c r="B688" i="34"/>
  <c r="B687" i="34"/>
  <c r="B686" i="34"/>
  <c r="B685" i="34"/>
  <c r="B684" i="34"/>
  <c r="B673" i="34"/>
  <c r="B672" i="34"/>
  <c r="B671" i="34"/>
  <c r="B670" i="34"/>
  <c r="B669" i="34"/>
  <c r="B668" i="34"/>
  <c r="B667" i="34"/>
  <c r="B666" i="34"/>
  <c r="B665" i="34"/>
  <c r="B662" i="34"/>
  <c r="B661" i="34"/>
  <c r="B660" i="34"/>
  <c r="B659" i="34"/>
  <c r="B658" i="34"/>
  <c r="B657" i="34"/>
  <c r="B656" i="34"/>
  <c r="B655" i="34"/>
  <c r="B654" i="34"/>
  <c r="B642" i="34"/>
  <c r="B641" i="34"/>
  <c r="B640" i="34"/>
  <c r="B639" i="34"/>
  <c r="B638" i="34"/>
  <c r="B637" i="34"/>
  <c r="B636" i="34"/>
  <c r="B635" i="34"/>
  <c r="B634" i="34"/>
  <c r="B616" i="34"/>
  <c r="B615" i="34"/>
  <c r="B614" i="34"/>
  <c r="B613" i="34"/>
  <c r="B612" i="34"/>
  <c r="B611" i="34"/>
  <c r="B585" i="34"/>
  <c r="B584" i="34"/>
  <c r="B583" i="34"/>
  <c r="B582" i="34"/>
  <c r="B581" i="34"/>
  <c r="B580" i="34"/>
  <c r="B579" i="34"/>
  <c r="B578" i="34"/>
  <c r="B577" i="34"/>
  <c r="B554" i="34"/>
  <c r="B553" i="34"/>
  <c r="B552" i="34"/>
  <c r="B551" i="34"/>
  <c r="B550" i="34"/>
  <c r="B549" i="34"/>
  <c r="B548" i="34"/>
  <c r="B547" i="34"/>
  <c r="B546" i="34"/>
  <c r="B519" i="34"/>
  <c r="B518" i="34"/>
  <c r="B517" i="34"/>
  <c r="B516" i="34"/>
  <c r="B515" i="34"/>
  <c r="B514" i="34"/>
  <c r="B513" i="34"/>
  <c r="B512" i="34"/>
  <c r="B511" i="34"/>
  <c r="B349" i="34"/>
  <c r="B348" i="34"/>
  <c r="B347" i="34"/>
  <c r="B346" i="34"/>
  <c r="B345" i="34"/>
  <c r="B344" i="34"/>
  <c r="B343" i="34"/>
  <c r="B342" i="34"/>
  <c r="B256" i="34"/>
  <c r="B255" i="34"/>
  <c r="B254" i="34"/>
  <c r="B253" i="34"/>
  <c r="B252" i="34"/>
  <c r="B237" i="34"/>
  <c r="B236" i="34"/>
  <c r="B235" i="34"/>
  <c r="B234" i="34"/>
  <c r="B233" i="34"/>
  <c r="B232" i="34"/>
  <c r="B231" i="34"/>
  <c r="B230" i="34"/>
  <c r="B229" i="34"/>
  <c r="B225" i="34"/>
  <c r="B224" i="34"/>
  <c r="B223" i="34"/>
  <c r="B222" i="34"/>
  <c r="B221" i="34"/>
  <c r="B220" i="34"/>
  <c r="B219" i="34"/>
  <c r="B213" i="34"/>
  <c r="B212" i="34"/>
  <c r="B211" i="34"/>
  <c r="B1115" i="34"/>
  <c r="B1114" i="34"/>
  <c r="B1113" i="34"/>
  <c r="B1112" i="34"/>
  <c r="B1103" i="34"/>
  <c r="B1102" i="34"/>
  <c r="B1101" i="34"/>
  <c r="B1100" i="34"/>
  <c r="B1095" i="34"/>
  <c r="B1094" i="34"/>
  <c r="B473" i="34"/>
  <c r="B472" i="34"/>
  <c r="B471" i="34"/>
  <c r="B470" i="34"/>
  <c r="B46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736" i="34"/>
  <c r="B735" i="34"/>
  <c r="B734" i="34"/>
  <c r="B733" i="34"/>
  <c r="B732" i="34"/>
  <c r="B1083" i="34"/>
  <c r="B1081" i="34"/>
  <c r="B1080" i="34"/>
  <c r="B1075" i="34"/>
  <c r="B1074" i="34"/>
  <c r="B1068" i="34"/>
  <c r="B1059" i="34"/>
  <c r="B1057" i="34"/>
  <c r="B1042" i="34"/>
  <c r="B1041" i="34"/>
  <c r="B926" i="34"/>
  <c r="B925" i="34"/>
  <c r="B924" i="34"/>
  <c r="B917" i="34"/>
  <c r="B543" i="34"/>
  <c r="B542" i="34"/>
  <c r="B535" i="34"/>
  <c r="B534" i="34"/>
  <c r="B533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2" i="34"/>
  <c r="B491" i="34"/>
  <c r="B490" i="34"/>
  <c r="B489" i="34"/>
  <c r="B487" i="34"/>
  <c r="B486" i="34"/>
  <c r="B485" i="34"/>
  <c r="B484" i="34"/>
  <c r="B483" i="34"/>
  <c r="B482" i="34"/>
  <c r="B481" i="34"/>
  <c r="B480" i="34"/>
  <c r="B479" i="34"/>
  <c r="B478" i="34"/>
  <c r="B477" i="34"/>
  <c r="B475" i="34"/>
  <c r="B474" i="34"/>
  <c r="B364" i="34"/>
  <c r="B363" i="34"/>
  <c r="B730" i="34"/>
  <c r="B719" i="34"/>
  <c r="B1008" i="34"/>
  <c r="B1010" i="34"/>
  <c r="B1009" i="34"/>
  <c r="B936" i="34"/>
  <c r="B935" i="34"/>
  <c r="B1206" i="34"/>
  <c r="B1087" i="34"/>
  <c r="B1086" i="34"/>
  <c r="B968" i="34"/>
  <c r="B967" i="34"/>
  <c r="B1078" i="34"/>
  <c r="B1073" i="34"/>
  <c r="B1072" i="34"/>
  <c r="B1067" i="34"/>
  <c r="B1066" i="34"/>
  <c r="B1071" i="34"/>
  <c r="B1070" i="34"/>
  <c r="B1040" i="34"/>
  <c r="B1039" i="34"/>
  <c r="B1756" i="34"/>
  <c r="B1761" i="34"/>
  <c r="B1760" i="34"/>
  <c r="B956" i="34"/>
  <c r="B955" i="34"/>
  <c r="B954" i="34"/>
  <c r="B1186" i="34"/>
  <c r="B1164" i="34"/>
  <c r="B1163" i="34"/>
  <c r="B1217" i="34"/>
  <c r="B1216" i="34"/>
  <c r="B1198" i="34"/>
  <c r="B1197" i="34"/>
  <c r="B1196" i="34"/>
  <c r="B1195" i="34"/>
  <c r="B1194" i="34"/>
  <c r="B1193" i="34"/>
  <c r="B1192" i="34"/>
  <c r="B1191" i="34"/>
  <c r="B1180" i="34"/>
  <c r="B1179" i="34"/>
  <c r="B1178" i="34"/>
  <c r="B1177" i="34"/>
  <c r="B1173" i="34"/>
  <c r="B1172" i="34"/>
  <c r="B1171" i="34"/>
  <c r="B1170" i="34"/>
  <c r="B1166" i="34"/>
  <c r="B1165" i="34"/>
  <c r="B1161" i="34"/>
  <c r="B1160" i="34"/>
  <c r="B1158" i="34"/>
  <c r="B1157" i="34"/>
  <c r="B1152" i="34"/>
  <c r="B1151" i="34"/>
  <c r="B1150" i="34"/>
  <c r="B1149" i="34"/>
  <c r="B1148" i="34"/>
  <c r="B1141" i="34"/>
  <c r="B1140" i="34"/>
  <c r="B1139" i="34"/>
  <c r="B1138" i="34"/>
  <c r="B1137" i="34"/>
  <c r="B1136" i="34"/>
  <c r="B1135" i="34"/>
  <c r="B1134" i="34"/>
  <c r="B1132" i="34"/>
  <c r="B1131" i="34"/>
  <c r="B1130" i="34"/>
  <c r="B1129" i="34"/>
  <c r="B1127" i="34"/>
  <c r="B1126" i="34"/>
  <c r="B1759" i="34"/>
  <c r="B1758" i="34"/>
  <c r="B1763" i="34"/>
  <c r="B1762" i="34"/>
  <c r="B1757" i="34"/>
  <c r="Q1134" i="34" l="1"/>
  <c r="R1134" i="34"/>
  <c r="V1134" i="34"/>
  <c r="AA1134" i="34"/>
  <c r="P1134" i="34"/>
  <c r="X1134" i="34"/>
  <c r="Q1148" i="34"/>
  <c r="R1148" i="34"/>
  <c r="V1148" i="34"/>
  <c r="AA1148" i="34"/>
  <c r="P1148" i="34"/>
  <c r="X1148" i="34"/>
  <c r="Q1178" i="34"/>
  <c r="R1178" i="34"/>
  <c r="V1178" i="34"/>
  <c r="AA1178" i="34"/>
  <c r="P1178" i="34"/>
  <c r="X1178" i="34"/>
  <c r="Q954" i="34"/>
  <c r="R954" i="34"/>
  <c r="V954" i="34"/>
  <c r="AA954" i="34"/>
  <c r="P954" i="34"/>
  <c r="X954" i="34"/>
  <c r="Q1130" i="34"/>
  <c r="R1130" i="34"/>
  <c r="V1130" i="34"/>
  <c r="AA1130" i="34"/>
  <c r="P1130" i="34"/>
  <c r="X1130" i="34"/>
  <c r="AA1157" i="34"/>
  <c r="P1157" i="34"/>
  <c r="X1157" i="34"/>
  <c r="Q1157" i="34"/>
  <c r="R1157" i="34"/>
  <c r="V1157" i="34"/>
  <c r="Q1172" i="34"/>
  <c r="R1172" i="34"/>
  <c r="V1172" i="34"/>
  <c r="AA1172" i="34"/>
  <c r="P1172" i="34"/>
  <c r="X1172" i="34"/>
  <c r="AA1193" i="34"/>
  <c r="P1193" i="34"/>
  <c r="X1193" i="34"/>
  <c r="Q1193" i="34"/>
  <c r="R1193" i="34"/>
  <c r="V1193" i="34"/>
  <c r="AA955" i="34"/>
  <c r="P955" i="34"/>
  <c r="X955" i="34"/>
  <c r="Q955" i="34"/>
  <c r="R955" i="34"/>
  <c r="V955" i="34"/>
  <c r="AA1073" i="34"/>
  <c r="P1073" i="34"/>
  <c r="X1073" i="34"/>
  <c r="Q1073" i="34"/>
  <c r="R1073" i="34"/>
  <c r="V1073" i="34"/>
  <c r="AA719" i="34"/>
  <c r="P719" i="34"/>
  <c r="X719" i="34"/>
  <c r="Q719" i="34"/>
  <c r="R719" i="34"/>
  <c r="V719" i="34"/>
  <c r="Q1126" i="34"/>
  <c r="R1126" i="34"/>
  <c r="V1126" i="34"/>
  <c r="AA1126" i="34"/>
  <c r="P1126" i="34"/>
  <c r="X1126" i="34"/>
  <c r="AA1131" i="34"/>
  <c r="P1131" i="34"/>
  <c r="X1131" i="34"/>
  <c r="Q1131" i="34"/>
  <c r="R1131" i="34"/>
  <c r="V1131" i="34"/>
  <c r="Q1140" i="34"/>
  <c r="R1140" i="34"/>
  <c r="V1140" i="34"/>
  <c r="AA1140" i="34"/>
  <c r="P1140" i="34"/>
  <c r="X1140" i="34"/>
  <c r="Q1158" i="34"/>
  <c r="R1158" i="34"/>
  <c r="V1158" i="34"/>
  <c r="AA1158" i="34"/>
  <c r="P1158" i="34"/>
  <c r="X1158" i="34"/>
  <c r="AA1173" i="34"/>
  <c r="P1173" i="34"/>
  <c r="X1173" i="34"/>
  <c r="Q1173" i="34"/>
  <c r="R1173" i="34"/>
  <c r="V1173" i="34"/>
  <c r="Q1194" i="34"/>
  <c r="R1194" i="34"/>
  <c r="V1194" i="34"/>
  <c r="AA1194" i="34"/>
  <c r="P1194" i="34"/>
  <c r="X1194" i="34"/>
  <c r="Q1198" i="34"/>
  <c r="R1198" i="34"/>
  <c r="V1198" i="34"/>
  <c r="AA1198" i="34"/>
  <c r="P1198" i="34"/>
  <c r="X1198" i="34"/>
  <c r="Q956" i="34"/>
  <c r="R956" i="34"/>
  <c r="V956" i="34"/>
  <c r="AA956" i="34"/>
  <c r="P956" i="34"/>
  <c r="X956" i="34"/>
  <c r="Q1066" i="34"/>
  <c r="R1066" i="34"/>
  <c r="V1066" i="34"/>
  <c r="AA1066" i="34"/>
  <c r="P1066" i="34"/>
  <c r="X1066" i="34"/>
  <c r="Q1078" i="34"/>
  <c r="R1078" i="34"/>
  <c r="V1078" i="34"/>
  <c r="AA1078" i="34"/>
  <c r="P1078" i="34"/>
  <c r="X1078" i="34"/>
  <c r="AA1009" i="34"/>
  <c r="P1009" i="34"/>
  <c r="X1009" i="34"/>
  <c r="Q1009" i="34"/>
  <c r="R1009" i="34"/>
  <c r="V1009" i="34"/>
  <c r="R480" i="34"/>
  <c r="V480" i="34"/>
  <c r="AA480" i="34"/>
  <c r="P480" i="34"/>
  <c r="X480" i="34"/>
  <c r="Q480" i="34"/>
  <c r="AA1763" i="34"/>
  <c r="P1763" i="34"/>
  <c r="X1763" i="34"/>
  <c r="Q1763" i="34"/>
  <c r="R1763" i="34"/>
  <c r="V1763" i="34"/>
  <c r="AA1127" i="34"/>
  <c r="P1127" i="34"/>
  <c r="X1127" i="34"/>
  <c r="Q1127" i="34"/>
  <c r="R1127" i="34"/>
  <c r="V1127" i="34"/>
  <c r="Q1132" i="34"/>
  <c r="R1132" i="34"/>
  <c r="V1132" i="34"/>
  <c r="AA1132" i="34"/>
  <c r="P1132" i="34"/>
  <c r="X1132" i="34"/>
  <c r="AA1137" i="34"/>
  <c r="P1137" i="34"/>
  <c r="X1137" i="34"/>
  <c r="Q1137" i="34"/>
  <c r="R1137" i="34"/>
  <c r="V1137" i="34"/>
  <c r="AA1141" i="34"/>
  <c r="P1141" i="34"/>
  <c r="X1141" i="34"/>
  <c r="Q1141" i="34"/>
  <c r="R1141" i="34"/>
  <c r="V1141" i="34"/>
  <c r="AA1151" i="34"/>
  <c r="P1151" i="34"/>
  <c r="X1151" i="34"/>
  <c r="Q1151" i="34"/>
  <c r="R1151" i="34"/>
  <c r="V1151" i="34"/>
  <c r="Q1160" i="34"/>
  <c r="R1160" i="34"/>
  <c r="V1160" i="34"/>
  <c r="AA1160" i="34"/>
  <c r="P1160" i="34"/>
  <c r="X1160" i="34"/>
  <c r="Q1170" i="34"/>
  <c r="R1170" i="34"/>
  <c r="V1170" i="34"/>
  <c r="AA1170" i="34"/>
  <c r="P1170" i="34"/>
  <c r="X1170" i="34"/>
  <c r="AA1177" i="34"/>
  <c r="P1177" i="34"/>
  <c r="X1177" i="34"/>
  <c r="Q1177" i="34"/>
  <c r="R1177" i="34"/>
  <c r="V1177" i="34"/>
  <c r="AA1191" i="34"/>
  <c r="P1191" i="34"/>
  <c r="X1191" i="34"/>
  <c r="Q1191" i="34"/>
  <c r="R1191" i="34"/>
  <c r="V1191" i="34"/>
  <c r="AA1195" i="34"/>
  <c r="P1195" i="34"/>
  <c r="X1195" i="34"/>
  <c r="Q1195" i="34"/>
  <c r="R1195" i="34"/>
  <c r="V1195" i="34"/>
  <c r="Q1216" i="34"/>
  <c r="R1216" i="34"/>
  <c r="V1216" i="34"/>
  <c r="AA1216" i="34"/>
  <c r="P1216" i="34"/>
  <c r="X1216" i="34"/>
  <c r="Q1186" i="34"/>
  <c r="R1186" i="34"/>
  <c r="V1186" i="34"/>
  <c r="AA1186" i="34"/>
  <c r="P1186" i="34"/>
  <c r="X1186" i="34"/>
  <c r="Q1760" i="34"/>
  <c r="R1760" i="34"/>
  <c r="V1760" i="34"/>
  <c r="AA1760" i="34"/>
  <c r="P1760" i="34"/>
  <c r="X1760" i="34"/>
  <c r="Q1040" i="34"/>
  <c r="R1040" i="34"/>
  <c r="V1040" i="34"/>
  <c r="AA1040" i="34"/>
  <c r="P1040" i="34"/>
  <c r="X1040" i="34"/>
  <c r="AA1067" i="34"/>
  <c r="P1067" i="34"/>
  <c r="X1067" i="34"/>
  <c r="Q1067" i="34"/>
  <c r="R1067" i="34"/>
  <c r="V1067" i="34"/>
  <c r="AA967" i="34"/>
  <c r="P967" i="34"/>
  <c r="X967" i="34"/>
  <c r="Q967" i="34"/>
  <c r="R967" i="34"/>
  <c r="V967" i="34"/>
  <c r="Q1206" i="34"/>
  <c r="R1206" i="34"/>
  <c r="V1206" i="34"/>
  <c r="AA1206" i="34"/>
  <c r="P1206" i="34"/>
  <c r="X1206" i="34"/>
  <c r="Q1010" i="34"/>
  <c r="R1010" i="34"/>
  <c r="V1010" i="34"/>
  <c r="AA1010" i="34"/>
  <c r="P1010" i="34"/>
  <c r="X1010" i="34"/>
  <c r="AA363" i="34"/>
  <c r="P363" i="34"/>
  <c r="X363" i="34"/>
  <c r="Q363" i="34"/>
  <c r="R363" i="34"/>
  <c r="V363" i="34"/>
  <c r="P477" i="34"/>
  <c r="X477" i="34"/>
  <c r="Q477" i="34"/>
  <c r="R477" i="34"/>
  <c r="V477" i="34"/>
  <c r="AA477" i="34"/>
  <c r="P481" i="34"/>
  <c r="X481" i="34"/>
  <c r="Q481" i="34"/>
  <c r="R481" i="34"/>
  <c r="V481" i="34"/>
  <c r="AA481" i="34"/>
  <c r="P485" i="34"/>
  <c r="X485" i="34"/>
  <c r="Q485" i="34"/>
  <c r="R485" i="34"/>
  <c r="V485" i="34"/>
  <c r="AA485" i="34"/>
  <c r="R490" i="34"/>
  <c r="V490" i="34"/>
  <c r="AA490" i="34"/>
  <c r="P490" i="34"/>
  <c r="X490" i="34"/>
  <c r="Q490" i="34"/>
  <c r="P495" i="34"/>
  <c r="X495" i="34"/>
  <c r="Q495" i="34"/>
  <c r="R495" i="34"/>
  <c r="V495" i="34"/>
  <c r="AA495" i="34"/>
  <c r="P499" i="34"/>
  <c r="X499" i="34"/>
  <c r="Q499" i="34"/>
  <c r="R499" i="34"/>
  <c r="V499" i="34"/>
  <c r="AA499" i="34"/>
  <c r="P503" i="34"/>
  <c r="X503" i="34"/>
  <c r="Q503" i="34"/>
  <c r="R503" i="34"/>
  <c r="V503" i="34"/>
  <c r="AA503" i="34"/>
  <c r="P507" i="34"/>
  <c r="X507" i="34"/>
  <c r="Q507" i="34"/>
  <c r="R507" i="34"/>
  <c r="V507" i="34"/>
  <c r="AA507" i="34"/>
  <c r="P533" i="34"/>
  <c r="X533" i="34"/>
  <c r="Q533" i="34"/>
  <c r="R533" i="34"/>
  <c r="V533" i="34"/>
  <c r="AA533" i="34"/>
  <c r="P543" i="34"/>
  <c r="X543" i="34"/>
  <c r="Q543" i="34"/>
  <c r="R543" i="34"/>
  <c r="V543" i="34"/>
  <c r="AA543" i="34"/>
  <c r="Q926" i="34"/>
  <c r="R926" i="34"/>
  <c r="V926" i="34"/>
  <c r="AA926" i="34"/>
  <c r="P926" i="34"/>
  <c r="X926" i="34"/>
  <c r="AA1059" i="34"/>
  <c r="P1059" i="34"/>
  <c r="X1059" i="34"/>
  <c r="Q1059" i="34"/>
  <c r="R1059" i="34"/>
  <c r="V1059" i="34"/>
  <c r="Q1080" i="34"/>
  <c r="R1080" i="34"/>
  <c r="V1080" i="34"/>
  <c r="AA1080" i="34"/>
  <c r="P1080" i="34"/>
  <c r="X1080" i="34"/>
  <c r="AA733" i="34"/>
  <c r="P733" i="34"/>
  <c r="X733" i="34"/>
  <c r="Q733" i="34"/>
  <c r="R733" i="34"/>
  <c r="V733" i="34"/>
  <c r="Q350" i="34"/>
  <c r="R350" i="34"/>
  <c r="V350" i="34"/>
  <c r="AA350" i="34"/>
  <c r="P350" i="34"/>
  <c r="X350" i="34"/>
  <c r="Q354" i="34"/>
  <c r="R354" i="34"/>
  <c r="V354" i="34"/>
  <c r="AA354" i="34"/>
  <c r="P354" i="34"/>
  <c r="X354" i="34"/>
  <c r="Q358" i="34"/>
  <c r="R358" i="34"/>
  <c r="V358" i="34"/>
  <c r="AA358" i="34"/>
  <c r="P358" i="34"/>
  <c r="X358" i="34"/>
  <c r="Q362" i="34"/>
  <c r="R362" i="34"/>
  <c r="V362" i="34"/>
  <c r="AA362" i="34"/>
  <c r="P362" i="34"/>
  <c r="X362" i="34"/>
  <c r="AA369" i="34"/>
  <c r="P369" i="34"/>
  <c r="X369" i="34"/>
  <c r="Q369" i="34"/>
  <c r="R369" i="34"/>
  <c r="V369" i="34"/>
  <c r="AA373" i="34"/>
  <c r="P373" i="34"/>
  <c r="X373" i="34"/>
  <c r="Q373" i="34"/>
  <c r="R373" i="34"/>
  <c r="V373" i="34"/>
  <c r="AA377" i="34"/>
  <c r="P377" i="34"/>
  <c r="X377" i="34"/>
  <c r="Q377" i="34"/>
  <c r="R377" i="34"/>
  <c r="V377" i="34"/>
  <c r="P471" i="34"/>
  <c r="X471" i="34"/>
  <c r="Q471" i="34"/>
  <c r="R471" i="34"/>
  <c r="V471" i="34"/>
  <c r="AA471" i="34"/>
  <c r="AA1095" i="34"/>
  <c r="P1095" i="34"/>
  <c r="X1095" i="34"/>
  <c r="Q1095" i="34"/>
  <c r="R1095" i="34"/>
  <c r="V1095" i="34"/>
  <c r="AA1103" i="34"/>
  <c r="P1103" i="34"/>
  <c r="X1103" i="34"/>
  <c r="Q1103" i="34"/>
  <c r="R1103" i="34"/>
  <c r="V1103" i="34"/>
  <c r="AA1115" i="34"/>
  <c r="P1115" i="34"/>
  <c r="X1115" i="34"/>
  <c r="Q1115" i="34"/>
  <c r="R1115" i="34"/>
  <c r="V1115" i="34"/>
  <c r="AA219" i="34"/>
  <c r="P219" i="34"/>
  <c r="X219" i="34"/>
  <c r="Q219" i="34"/>
  <c r="R219" i="34"/>
  <c r="V219" i="34"/>
  <c r="AA223" i="34"/>
  <c r="P223" i="34"/>
  <c r="X223" i="34"/>
  <c r="Q223" i="34"/>
  <c r="R223" i="34"/>
  <c r="V223" i="34"/>
  <c r="Q230" i="34"/>
  <c r="R230" i="34"/>
  <c r="V230" i="34"/>
  <c r="AA230" i="34"/>
  <c r="P230" i="34"/>
  <c r="X230" i="34"/>
  <c r="Q234" i="34"/>
  <c r="R234" i="34"/>
  <c r="V234" i="34"/>
  <c r="AA234" i="34"/>
  <c r="P234" i="34"/>
  <c r="X234" i="34"/>
  <c r="Q252" i="34"/>
  <c r="R252" i="34"/>
  <c r="V252" i="34"/>
  <c r="AA252" i="34"/>
  <c r="P252" i="34"/>
  <c r="X252" i="34"/>
  <c r="Q256" i="34"/>
  <c r="R256" i="34"/>
  <c r="V256" i="34"/>
  <c r="P256" i="34"/>
  <c r="AA256" i="34"/>
  <c r="X256" i="34"/>
  <c r="AA345" i="34"/>
  <c r="P345" i="34"/>
  <c r="X345" i="34"/>
  <c r="Q345" i="34"/>
  <c r="R345" i="34"/>
  <c r="V345" i="34"/>
  <c r="AA349" i="34"/>
  <c r="P349" i="34"/>
  <c r="X349" i="34"/>
  <c r="Q349" i="34"/>
  <c r="R349" i="34"/>
  <c r="V349" i="34"/>
  <c r="R514" i="34"/>
  <c r="V514" i="34"/>
  <c r="AA514" i="34"/>
  <c r="P514" i="34"/>
  <c r="X514" i="34"/>
  <c r="Q514" i="34"/>
  <c r="R518" i="34"/>
  <c r="V518" i="34"/>
  <c r="AA518" i="34"/>
  <c r="P518" i="34"/>
  <c r="X518" i="34"/>
  <c r="Q518" i="34"/>
  <c r="R548" i="34"/>
  <c r="V548" i="34"/>
  <c r="AA548" i="34"/>
  <c r="P548" i="34"/>
  <c r="X548" i="34"/>
  <c r="Q548" i="34"/>
  <c r="R552" i="34"/>
  <c r="V552" i="34"/>
  <c r="AA552" i="34"/>
  <c r="P552" i="34"/>
  <c r="X552" i="34"/>
  <c r="Q552" i="34"/>
  <c r="R578" i="34"/>
  <c r="V578" i="34"/>
  <c r="AA578" i="34"/>
  <c r="P578" i="34"/>
  <c r="X578" i="34"/>
  <c r="Q578" i="34"/>
  <c r="R582" i="34"/>
  <c r="V582" i="34"/>
  <c r="AA582" i="34"/>
  <c r="P582" i="34"/>
  <c r="X582" i="34"/>
  <c r="Q582" i="34"/>
  <c r="P611" i="34"/>
  <c r="X611" i="34"/>
  <c r="Q611" i="34"/>
  <c r="R611" i="34"/>
  <c r="V611" i="34"/>
  <c r="AA611" i="34"/>
  <c r="P615" i="34"/>
  <c r="X615" i="34"/>
  <c r="Q615" i="34"/>
  <c r="R615" i="34"/>
  <c r="V615" i="34"/>
  <c r="AA615" i="34"/>
  <c r="R636" i="34"/>
  <c r="V636" i="34"/>
  <c r="AA636" i="34"/>
  <c r="P636" i="34"/>
  <c r="X636" i="34"/>
  <c r="Q636" i="34"/>
  <c r="R640" i="34"/>
  <c r="V640" i="34"/>
  <c r="AA640" i="34"/>
  <c r="P640" i="34"/>
  <c r="X640" i="34"/>
  <c r="Q640" i="34"/>
  <c r="P655" i="34"/>
  <c r="X655" i="34"/>
  <c r="Q655" i="34"/>
  <c r="R655" i="34"/>
  <c r="V655" i="34"/>
  <c r="AA655" i="34"/>
  <c r="P659" i="34"/>
  <c r="X659" i="34"/>
  <c r="Q659" i="34"/>
  <c r="R659" i="34"/>
  <c r="V659" i="34"/>
  <c r="AA659" i="34"/>
  <c r="P665" i="34"/>
  <c r="X665" i="34"/>
  <c r="Q665" i="34"/>
  <c r="R665" i="34"/>
  <c r="V665" i="34"/>
  <c r="AA665" i="34"/>
  <c r="P669" i="34"/>
  <c r="X669" i="34"/>
  <c r="Q669" i="34"/>
  <c r="R669" i="34"/>
  <c r="V669" i="34"/>
  <c r="AA669" i="34"/>
  <c r="P673" i="34"/>
  <c r="X673" i="34"/>
  <c r="Q673" i="34"/>
  <c r="R673" i="34"/>
  <c r="V673" i="34"/>
  <c r="AA673" i="34"/>
  <c r="P687" i="34"/>
  <c r="X687" i="34"/>
  <c r="Q687" i="34"/>
  <c r="R687" i="34"/>
  <c r="V687" i="34"/>
  <c r="AA687" i="34"/>
  <c r="P691" i="34"/>
  <c r="X691" i="34"/>
  <c r="Q691" i="34"/>
  <c r="R691" i="34"/>
  <c r="V691" i="34"/>
  <c r="AA691" i="34"/>
  <c r="AA717" i="34"/>
  <c r="P717" i="34"/>
  <c r="X717" i="34"/>
  <c r="Q717" i="34"/>
  <c r="R717" i="34"/>
  <c r="V717" i="34"/>
  <c r="Q147" i="34"/>
  <c r="R147" i="34"/>
  <c r="V147" i="34"/>
  <c r="AA147" i="34"/>
  <c r="P147" i="34"/>
  <c r="X147" i="34"/>
  <c r="Q155" i="34"/>
  <c r="R155" i="34"/>
  <c r="V155" i="34"/>
  <c r="AA155" i="34"/>
  <c r="P155" i="34"/>
  <c r="X155" i="34"/>
  <c r="Q159" i="34"/>
  <c r="R159" i="34"/>
  <c r="V159" i="34"/>
  <c r="AA159" i="34"/>
  <c r="P159" i="34"/>
  <c r="X159" i="34"/>
  <c r="R180" i="34"/>
  <c r="V180" i="34"/>
  <c r="P180" i="34"/>
  <c r="Q180" i="34"/>
  <c r="AA180" i="34"/>
  <c r="X180" i="34"/>
  <c r="R184" i="34"/>
  <c r="V184" i="34"/>
  <c r="P184" i="34"/>
  <c r="Q184" i="34"/>
  <c r="AA184" i="34"/>
  <c r="X184" i="34"/>
  <c r="R188" i="34"/>
  <c r="V188" i="34"/>
  <c r="P188" i="34"/>
  <c r="Q188" i="34"/>
  <c r="AA188" i="34"/>
  <c r="X188" i="34"/>
  <c r="AA195" i="34"/>
  <c r="P195" i="34"/>
  <c r="X195" i="34"/>
  <c r="Q195" i="34"/>
  <c r="R195" i="34"/>
  <c r="V195" i="34"/>
  <c r="AA199" i="34"/>
  <c r="P199" i="34"/>
  <c r="X199" i="34"/>
  <c r="Q199" i="34"/>
  <c r="R199" i="34"/>
  <c r="V199" i="34"/>
  <c r="Q208" i="34"/>
  <c r="R208" i="34"/>
  <c r="V208" i="34"/>
  <c r="AA208" i="34"/>
  <c r="P208" i="34"/>
  <c r="X208" i="34"/>
  <c r="Q1138" i="34"/>
  <c r="R1138" i="34"/>
  <c r="V1138" i="34"/>
  <c r="AA1138" i="34"/>
  <c r="P1138" i="34"/>
  <c r="X1138" i="34"/>
  <c r="AA1171" i="34"/>
  <c r="P1171" i="34"/>
  <c r="X1171" i="34"/>
  <c r="Q1171" i="34"/>
  <c r="R1171" i="34"/>
  <c r="V1171" i="34"/>
  <c r="AA1217" i="34"/>
  <c r="P1217" i="34"/>
  <c r="X1217" i="34"/>
  <c r="Q1217" i="34"/>
  <c r="R1217" i="34"/>
  <c r="V1217" i="34"/>
  <c r="AA1761" i="34"/>
  <c r="P1761" i="34"/>
  <c r="X1761" i="34"/>
  <c r="Q1761" i="34"/>
  <c r="R1761" i="34"/>
  <c r="V1761" i="34"/>
  <c r="Q1070" i="34"/>
  <c r="R1070" i="34"/>
  <c r="V1070" i="34"/>
  <c r="AA1070" i="34"/>
  <c r="P1070" i="34"/>
  <c r="X1070" i="34"/>
  <c r="Q1072" i="34"/>
  <c r="R1072" i="34"/>
  <c r="V1072" i="34"/>
  <c r="AA1072" i="34"/>
  <c r="P1072" i="34"/>
  <c r="X1072" i="34"/>
  <c r="Q968" i="34"/>
  <c r="R968" i="34"/>
  <c r="V968" i="34"/>
  <c r="AA968" i="34"/>
  <c r="P968" i="34"/>
  <c r="X968" i="34"/>
  <c r="AA935" i="34"/>
  <c r="P935" i="34"/>
  <c r="X935" i="34"/>
  <c r="Q935" i="34"/>
  <c r="R935" i="34"/>
  <c r="V935" i="34"/>
  <c r="Q1008" i="34"/>
  <c r="R1008" i="34"/>
  <c r="V1008" i="34"/>
  <c r="AA1008" i="34"/>
  <c r="P1008" i="34"/>
  <c r="X1008" i="34"/>
  <c r="Q364" i="34"/>
  <c r="R364" i="34"/>
  <c r="V364" i="34"/>
  <c r="AA364" i="34"/>
  <c r="P364" i="34"/>
  <c r="X364" i="34"/>
  <c r="R478" i="34"/>
  <c r="V478" i="34"/>
  <c r="AA478" i="34"/>
  <c r="P478" i="34"/>
  <c r="X478" i="34"/>
  <c r="Q478" i="34"/>
  <c r="R482" i="34"/>
  <c r="V482" i="34"/>
  <c r="AA482" i="34"/>
  <c r="P482" i="34"/>
  <c r="X482" i="34"/>
  <c r="Q482" i="34"/>
  <c r="R486" i="34"/>
  <c r="V486" i="34"/>
  <c r="AA486" i="34"/>
  <c r="P486" i="34"/>
  <c r="X486" i="34"/>
  <c r="Q486" i="34"/>
  <c r="P491" i="34"/>
  <c r="X491" i="34"/>
  <c r="Q491" i="34"/>
  <c r="R491" i="34"/>
  <c r="V491" i="34"/>
  <c r="AA491" i="34"/>
  <c r="R496" i="34"/>
  <c r="V496" i="34"/>
  <c r="AA496" i="34"/>
  <c r="P496" i="34"/>
  <c r="X496" i="34"/>
  <c r="Q496" i="34"/>
  <c r="R500" i="34"/>
  <c r="V500" i="34"/>
  <c r="AA500" i="34"/>
  <c r="P500" i="34"/>
  <c r="X500" i="34"/>
  <c r="Q500" i="34"/>
  <c r="R504" i="34"/>
  <c r="V504" i="34"/>
  <c r="AA504" i="34"/>
  <c r="P504" i="34"/>
  <c r="X504" i="34"/>
  <c r="Q504" i="34"/>
  <c r="R508" i="34"/>
  <c r="V508" i="34"/>
  <c r="AA508" i="34"/>
  <c r="P508" i="34"/>
  <c r="X508" i="34"/>
  <c r="Q508" i="34"/>
  <c r="R534" i="34"/>
  <c r="Q534" i="34"/>
  <c r="P534" i="34"/>
  <c r="V534" i="34"/>
  <c r="AA534" i="34"/>
  <c r="X534" i="34"/>
  <c r="AA917" i="34"/>
  <c r="P917" i="34"/>
  <c r="X917" i="34"/>
  <c r="Q917" i="34"/>
  <c r="R917" i="34"/>
  <c r="V917" i="34"/>
  <c r="AA1041" i="34"/>
  <c r="P1041" i="34"/>
  <c r="X1041" i="34"/>
  <c r="Q1041" i="34"/>
  <c r="R1041" i="34"/>
  <c r="V1041" i="34"/>
  <c r="Q1068" i="34"/>
  <c r="R1068" i="34"/>
  <c r="V1068" i="34"/>
  <c r="AA1068" i="34"/>
  <c r="P1068" i="34"/>
  <c r="X1068" i="34"/>
  <c r="AA1081" i="34"/>
  <c r="P1081" i="34"/>
  <c r="X1081" i="34"/>
  <c r="Q1081" i="34"/>
  <c r="R1081" i="34"/>
  <c r="V1081" i="34"/>
  <c r="Q734" i="34"/>
  <c r="R734" i="34"/>
  <c r="V734" i="34"/>
  <c r="AA734" i="34"/>
  <c r="P734" i="34"/>
  <c r="X734" i="34"/>
  <c r="AA351" i="34"/>
  <c r="P351" i="34"/>
  <c r="X351" i="34"/>
  <c r="Q351" i="34"/>
  <c r="R351" i="34"/>
  <c r="V351" i="34"/>
  <c r="AA355" i="34"/>
  <c r="P355" i="34"/>
  <c r="X355" i="34"/>
  <c r="Q355" i="34"/>
  <c r="R355" i="34"/>
  <c r="V355" i="34"/>
  <c r="AA359" i="34"/>
  <c r="P359" i="34"/>
  <c r="X359" i="34"/>
  <c r="Q359" i="34"/>
  <c r="R359" i="34"/>
  <c r="V359" i="34"/>
  <c r="Q366" i="34"/>
  <c r="R366" i="34"/>
  <c r="V366" i="34"/>
  <c r="AA366" i="34"/>
  <c r="P366" i="34"/>
  <c r="X366" i="34"/>
  <c r="Q370" i="34"/>
  <c r="R370" i="34"/>
  <c r="V370" i="34"/>
  <c r="AA370" i="34"/>
  <c r="P370" i="34"/>
  <c r="X370" i="34"/>
  <c r="Q374" i="34"/>
  <c r="R374" i="34"/>
  <c r="V374" i="34"/>
  <c r="AA374" i="34"/>
  <c r="P374" i="34"/>
  <c r="X374" i="34"/>
  <c r="Q378" i="34"/>
  <c r="R378" i="34"/>
  <c r="V378" i="34"/>
  <c r="AA378" i="34"/>
  <c r="P378" i="34"/>
  <c r="X378" i="34"/>
  <c r="R472" i="34"/>
  <c r="V472" i="34"/>
  <c r="AA472" i="34"/>
  <c r="P472" i="34"/>
  <c r="X472" i="34"/>
  <c r="Q472" i="34"/>
  <c r="Q1100" i="34"/>
  <c r="R1100" i="34"/>
  <c r="V1100" i="34"/>
  <c r="AA1100" i="34"/>
  <c r="P1100" i="34"/>
  <c r="X1100" i="34"/>
  <c r="Q1112" i="34"/>
  <c r="R1112" i="34"/>
  <c r="V1112" i="34"/>
  <c r="AA1112" i="34"/>
  <c r="P1112" i="34"/>
  <c r="X1112" i="34"/>
  <c r="AA211" i="34"/>
  <c r="P211" i="34"/>
  <c r="X211" i="34"/>
  <c r="Q211" i="34"/>
  <c r="R211" i="34"/>
  <c r="V211" i="34"/>
  <c r="Q220" i="34"/>
  <c r="R220" i="34"/>
  <c r="V220" i="34"/>
  <c r="AA220" i="34"/>
  <c r="P220" i="34"/>
  <c r="X220" i="34"/>
  <c r="Q224" i="34"/>
  <c r="R224" i="34"/>
  <c r="V224" i="34"/>
  <c r="AA224" i="34"/>
  <c r="P224" i="34"/>
  <c r="X224" i="34"/>
  <c r="AA231" i="34"/>
  <c r="P231" i="34"/>
  <c r="X231" i="34"/>
  <c r="Q231" i="34"/>
  <c r="R231" i="34"/>
  <c r="V231" i="34"/>
  <c r="AA235" i="34"/>
  <c r="P235" i="34"/>
  <c r="X235" i="34"/>
  <c r="Q235" i="34"/>
  <c r="R235" i="34"/>
  <c r="V235" i="34"/>
  <c r="AA253" i="34"/>
  <c r="P253" i="34"/>
  <c r="X253" i="34"/>
  <c r="Q253" i="34"/>
  <c r="R253" i="34"/>
  <c r="V253" i="34"/>
  <c r="R342" i="34"/>
  <c r="V342" i="34"/>
  <c r="P342" i="34"/>
  <c r="X342" i="34"/>
  <c r="AA342" i="34"/>
  <c r="Q342" i="34"/>
  <c r="Q346" i="34"/>
  <c r="R346" i="34"/>
  <c r="V346" i="34"/>
  <c r="AA346" i="34"/>
  <c r="P346" i="34"/>
  <c r="X346" i="34"/>
  <c r="P511" i="34"/>
  <c r="X511" i="34"/>
  <c r="Q511" i="34"/>
  <c r="R511" i="34"/>
  <c r="V511" i="34"/>
  <c r="AA511" i="34"/>
  <c r="P515" i="34"/>
  <c r="X515" i="34"/>
  <c r="Q515" i="34"/>
  <c r="R515" i="34"/>
  <c r="V515" i="34"/>
  <c r="AA515" i="34"/>
  <c r="P519" i="34"/>
  <c r="X519" i="34"/>
  <c r="Q519" i="34"/>
  <c r="R519" i="34"/>
  <c r="V519" i="34"/>
  <c r="AA519" i="34"/>
  <c r="P549" i="34"/>
  <c r="X549" i="34"/>
  <c r="Q549" i="34"/>
  <c r="R549" i="34"/>
  <c r="V549" i="34"/>
  <c r="AA549" i="34"/>
  <c r="P553" i="34"/>
  <c r="X553" i="34"/>
  <c r="Q553" i="34"/>
  <c r="R553" i="34"/>
  <c r="V553" i="34"/>
  <c r="AA553" i="34"/>
  <c r="P579" i="34"/>
  <c r="X579" i="34"/>
  <c r="Q579" i="34"/>
  <c r="R579" i="34"/>
  <c r="V579" i="34"/>
  <c r="AA579" i="34"/>
  <c r="P583" i="34"/>
  <c r="X583" i="34"/>
  <c r="Q583" i="34"/>
  <c r="R583" i="34"/>
  <c r="V583" i="34"/>
  <c r="AA583" i="34"/>
  <c r="R612" i="34"/>
  <c r="V612" i="34"/>
  <c r="AA612" i="34"/>
  <c r="P612" i="34"/>
  <c r="X612" i="34"/>
  <c r="Q612" i="34"/>
  <c r="R616" i="34"/>
  <c r="V616" i="34"/>
  <c r="AA616" i="34"/>
  <c r="P616" i="34"/>
  <c r="X616" i="34"/>
  <c r="Q616" i="34"/>
  <c r="P637" i="34"/>
  <c r="X637" i="34"/>
  <c r="Q637" i="34"/>
  <c r="R637" i="34"/>
  <c r="V637" i="34"/>
  <c r="AA637" i="34"/>
  <c r="P641" i="34"/>
  <c r="X641" i="34"/>
  <c r="Q641" i="34"/>
  <c r="R641" i="34"/>
  <c r="V641" i="34"/>
  <c r="AA641" i="34"/>
  <c r="R656" i="34"/>
  <c r="V656" i="34"/>
  <c r="AA656" i="34"/>
  <c r="P656" i="34"/>
  <c r="X656" i="34"/>
  <c r="Q656" i="34"/>
  <c r="R660" i="34"/>
  <c r="V660" i="34"/>
  <c r="AA660" i="34"/>
  <c r="P660" i="34"/>
  <c r="X660" i="34"/>
  <c r="Q660" i="34"/>
  <c r="R666" i="34"/>
  <c r="V666" i="34"/>
  <c r="AA666" i="34"/>
  <c r="P666" i="34"/>
  <c r="X666" i="34"/>
  <c r="Q666" i="34"/>
  <c r="R670" i="34"/>
  <c r="V670" i="34"/>
  <c r="AA670" i="34"/>
  <c r="P670" i="34"/>
  <c r="X670" i="34"/>
  <c r="Q670" i="34"/>
  <c r="R684" i="34"/>
  <c r="V684" i="34"/>
  <c r="AA684" i="34"/>
  <c r="P684" i="34"/>
  <c r="X684" i="34"/>
  <c r="Q684" i="34"/>
  <c r="R688" i="34"/>
  <c r="V688" i="34"/>
  <c r="AA688" i="34"/>
  <c r="P688" i="34"/>
  <c r="X688" i="34"/>
  <c r="Q688" i="34"/>
  <c r="R692" i="34"/>
  <c r="V692" i="34"/>
  <c r="AA692" i="34"/>
  <c r="P692" i="34"/>
  <c r="X692" i="34"/>
  <c r="Q692" i="34"/>
  <c r="Q143" i="34"/>
  <c r="R143" i="34"/>
  <c r="V143" i="34"/>
  <c r="AA143" i="34"/>
  <c r="P143" i="34"/>
  <c r="X143" i="34"/>
  <c r="AA148" i="34"/>
  <c r="P148" i="34"/>
  <c r="X148" i="34"/>
  <c r="Q148" i="34"/>
  <c r="R148" i="34"/>
  <c r="V148" i="34"/>
  <c r="AA156" i="34"/>
  <c r="P156" i="34"/>
  <c r="X156" i="34"/>
  <c r="Q156" i="34"/>
  <c r="R156" i="34"/>
  <c r="V156" i="34"/>
  <c r="AA160" i="34"/>
  <c r="P160" i="34"/>
  <c r="X160" i="34"/>
  <c r="Q160" i="34"/>
  <c r="R160" i="34"/>
  <c r="V160" i="34"/>
  <c r="P181" i="34"/>
  <c r="X181" i="34"/>
  <c r="Q181" i="34"/>
  <c r="R181" i="34"/>
  <c r="V181" i="34"/>
  <c r="AA181" i="34"/>
  <c r="P185" i="34"/>
  <c r="X185" i="34"/>
  <c r="Q185" i="34"/>
  <c r="R185" i="34"/>
  <c r="V185" i="34"/>
  <c r="AA185" i="34"/>
  <c r="Q192" i="34"/>
  <c r="R192" i="34"/>
  <c r="V192" i="34"/>
  <c r="AA192" i="34"/>
  <c r="P192" i="34"/>
  <c r="X192" i="34"/>
  <c r="Q196" i="34"/>
  <c r="R196" i="34"/>
  <c r="V196" i="34"/>
  <c r="AA196" i="34"/>
  <c r="P196" i="34"/>
  <c r="X196" i="34"/>
  <c r="AA205" i="34"/>
  <c r="P205" i="34"/>
  <c r="X205" i="34"/>
  <c r="Q205" i="34"/>
  <c r="R205" i="34"/>
  <c r="V205" i="34"/>
  <c r="AA209" i="34"/>
  <c r="P209" i="34"/>
  <c r="X209" i="34"/>
  <c r="Q209" i="34"/>
  <c r="R209" i="34"/>
  <c r="V209" i="34"/>
  <c r="Q1758" i="34"/>
  <c r="R1758" i="34"/>
  <c r="V1758" i="34"/>
  <c r="AA1758" i="34"/>
  <c r="P1758" i="34"/>
  <c r="X1758" i="34"/>
  <c r="Q1152" i="34"/>
  <c r="R1152" i="34"/>
  <c r="V1152" i="34"/>
  <c r="AA1152" i="34"/>
  <c r="P1152" i="34"/>
  <c r="X1152" i="34"/>
  <c r="Q1196" i="34"/>
  <c r="R1196" i="34"/>
  <c r="V1196" i="34"/>
  <c r="AA1196" i="34"/>
  <c r="P1196" i="34"/>
  <c r="X1196" i="34"/>
  <c r="AA1759" i="34"/>
  <c r="P1759" i="34"/>
  <c r="X1759" i="34"/>
  <c r="Q1759" i="34"/>
  <c r="R1759" i="34"/>
  <c r="V1759" i="34"/>
  <c r="AA1149" i="34"/>
  <c r="P1149" i="34"/>
  <c r="X1149" i="34"/>
  <c r="Q1149" i="34"/>
  <c r="R1149" i="34"/>
  <c r="V1149" i="34"/>
  <c r="AA1179" i="34"/>
  <c r="P1179" i="34"/>
  <c r="X1179" i="34"/>
  <c r="Q1179" i="34"/>
  <c r="R1179" i="34"/>
  <c r="V1179" i="34"/>
  <c r="AA1163" i="34"/>
  <c r="P1163" i="34"/>
  <c r="X1163" i="34"/>
  <c r="Q1163" i="34"/>
  <c r="R1163" i="34"/>
  <c r="V1163" i="34"/>
  <c r="AA1071" i="34"/>
  <c r="P1071" i="34"/>
  <c r="X1071" i="34"/>
  <c r="Q1071" i="34"/>
  <c r="R1071" i="34"/>
  <c r="V1071" i="34"/>
  <c r="Q1086" i="34"/>
  <c r="R1086" i="34"/>
  <c r="V1086" i="34"/>
  <c r="AA1086" i="34"/>
  <c r="P1086" i="34"/>
  <c r="X1086" i="34"/>
  <c r="R474" i="34"/>
  <c r="V474" i="34"/>
  <c r="AA474" i="34"/>
  <c r="P474" i="34"/>
  <c r="X474" i="34"/>
  <c r="Q474" i="34"/>
  <c r="P479" i="34"/>
  <c r="X479" i="34"/>
  <c r="Q479" i="34"/>
  <c r="R479" i="34"/>
  <c r="V479" i="34"/>
  <c r="AA479" i="34"/>
  <c r="P483" i="34"/>
  <c r="X483" i="34"/>
  <c r="Q483" i="34"/>
  <c r="R483" i="34"/>
  <c r="V483" i="34"/>
  <c r="AA483" i="34"/>
  <c r="P487" i="34"/>
  <c r="X487" i="34"/>
  <c r="Q487" i="34"/>
  <c r="R487" i="34"/>
  <c r="V487" i="34"/>
  <c r="AA487" i="34"/>
  <c r="R492" i="34"/>
  <c r="V492" i="34"/>
  <c r="AA492" i="34"/>
  <c r="P492" i="34"/>
  <c r="X492" i="34"/>
  <c r="Q492" i="34"/>
  <c r="P497" i="34"/>
  <c r="X497" i="34"/>
  <c r="Q497" i="34"/>
  <c r="R497" i="34"/>
  <c r="V497" i="34"/>
  <c r="AA497" i="34"/>
  <c r="P501" i="34"/>
  <c r="X501" i="34"/>
  <c r="Q501" i="34"/>
  <c r="R501" i="34"/>
  <c r="V501" i="34"/>
  <c r="AA501" i="34"/>
  <c r="P505" i="34"/>
  <c r="X505" i="34"/>
  <c r="Q505" i="34"/>
  <c r="R505" i="34"/>
  <c r="V505" i="34"/>
  <c r="AA505" i="34"/>
  <c r="P509" i="34"/>
  <c r="X509" i="34"/>
  <c r="Q509" i="34"/>
  <c r="R509" i="34"/>
  <c r="V509" i="34"/>
  <c r="AA509" i="34"/>
  <c r="P535" i="34"/>
  <c r="X535" i="34"/>
  <c r="Q535" i="34"/>
  <c r="R535" i="34"/>
  <c r="V535" i="34"/>
  <c r="AA535" i="34"/>
  <c r="Q924" i="34"/>
  <c r="R924" i="34"/>
  <c r="V924" i="34"/>
  <c r="AA924" i="34"/>
  <c r="P924" i="34"/>
  <c r="X924" i="34"/>
  <c r="Q1042" i="34"/>
  <c r="R1042" i="34"/>
  <c r="V1042" i="34"/>
  <c r="AA1042" i="34"/>
  <c r="P1042" i="34"/>
  <c r="X1042" i="34"/>
  <c r="Q1074" i="34"/>
  <c r="R1074" i="34"/>
  <c r="V1074" i="34"/>
  <c r="AA1074" i="34"/>
  <c r="P1074" i="34"/>
  <c r="X1074" i="34"/>
  <c r="AA1083" i="34"/>
  <c r="P1083" i="34"/>
  <c r="X1083" i="34"/>
  <c r="Q1083" i="34"/>
  <c r="R1083" i="34"/>
  <c r="V1083" i="34"/>
  <c r="AA735" i="34"/>
  <c r="P735" i="34"/>
  <c r="X735" i="34"/>
  <c r="Q735" i="34"/>
  <c r="R735" i="34"/>
  <c r="V735" i="34"/>
  <c r="Q352" i="34"/>
  <c r="R352" i="34"/>
  <c r="V352" i="34"/>
  <c r="AA352" i="34"/>
  <c r="P352" i="34"/>
  <c r="X352" i="34"/>
  <c r="Q356" i="34"/>
  <c r="R356" i="34"/>
  <c r="V356" i="34"/>
  <c r="AA356" i="34"/>
  <c r="P356" i="34"/>
  <c r="X356" i="34"/>
  <c r="Q360" i="34"/>
  <c r="R360" i="34"/>
  <c r="V360" i="34"/>
  <c r="AA360" i="34"/>
  <c r="P360" i="34"/>
  <c r="X360" i="34"/>
  <c r="AA367" i="34"/>
  <c r="P367" i="34"/>
  <c r="X367" i="34"/>
  <c r="Q367" i="34"/>
  <c r="R367" i="34"/>
  <c r="V367" i="34"/>
  <c r="AA371" i="34"/>
  <c r="P371" i="34"/>
  <c r="X371" i="34"/>
  <c r="Q371" i="34"/>
  <c r="R371" i="34"/>
  <c r="V371" i="34"/>
  <c r="AA375" i="34"/>
  <c r="P375" i="34"/>
  <c r="X375" i="34"/>
  <c r="Q375" i="34"/>
  <c r="R375" i="34"/>
  <c r="V375" i="34"/>
  <c r="P469" i="34"/>
  <c r="X469" i="34"/>
  <c r="Q469" i="34"/>
  <c r="R469" i="34"/>
  <c r="V469" i="34"/>
  <c r="AA469" i="34"/>
  <c r="P473" i="34"/>
  <c r="X473" i="34"/>
  <c r="Q473" i="34"/>
  <c r="R473" i="34"/>
  <c r="V473" i="34"/>
  <c r="AA473" i="34"/>
  <c r="AA1101" i="34"/>
  <c r="P1101" i="34"/>
  <c r="X1101" i="34"/>
  <c r="Q1101" i="34"/>
  <c r="R1101" i="34"/>
  <c r="V1101" i="34"/>
  <c r="AA1113" i="34"/>
  <c r="P1113" i="34"/>
  <c r="X1113" i="34"/>
  <c r="Q1113" i="34"/>
  <c r="R1113" i="34"/>
  <c r="V1113" i="34"/>
  <c r="Q212" i="34"/>
  <c r="R212" i="34"/>
  <c r="V212" i="34"/>
  <c r="AA212" i="34"/>
  <c r="P212" i="34"/>
  <c r="X212" i="34"/>
  <c r="AA221" i="34"/>
  <c r="P221" i="34"/>
  <c r="X221" i="34"/>
  <c r="Q221" i="34"/>
  <c r="R221" i="34"/>
  <c r="V221" i="34"/>
  <c r="AA225" i="34"/>
  <c r="P225" i="34"/>
  <c r="X225" i="34"/>
  <c r="Q225" i="34"/>
  <c r="R225" i="34"/>
  <c r="V225" i="34"/>
  <c r="Q232" i="34"/>
  <c r="R232" i="34"/>
  <c r="V232" i="34"/>
  <c r="AA232" i="34"/>
  <c r="P232" i="34"/>
  <c r="X232" i="34"/>
  <c r="Q236" i="34"/>
  <c r="R236" i="34"/>
  <c r="V236" i="34"/>
  <c r="AA236" i="34"/>
  <c r="P236" i="34"/>
  <c r="X236" i="34"/>
  <c r="Q254" i="34"/>
  <c r="R254" i="34"/>
  <c r="V254" i="34"/>
  <c r="AA254" i="34"/>
  <c r="P254" i="34"/>
  <c r="X254" i="34"/>
  <c r="P343" i="34"/>
  <c r="X343" i="34"/>
  <c r="R343" i="34"/>
  <c r="V343" i="34"/>
  <c r="AA343" i="34"/>
  <c r="Q343" i="34"/>
  <c r="AA347" i="34"/>
  <c r="P347" i="34"/>
  <c r="X347" i="34"/>
  <c r="Q347" i="34"/>
  <c r="R347" i="34"/>
  <c r="V347" i="34"/>
  <c r="R512" i="34"/>
  <c r="V512" i="34"/>
  <c r="AA512" i="34"/>
  <c r="P512" i="34"/>
  <c r="X512" i="34"/>
  <c r="Q512" i="34"/>
  <c r="R516" i="34"/>
  <c r="V516" i="34"/>
  <c r="AA516" i="34"/>
  <c r="P516" i="34"/>
  <c r="X516" i="34"/>
  <c r="Q516" i="34"/>
  <c r="R546" i="34"/>
  <c r="V546" i="34"/>
  <c r="AA546" i="34"/>
  <c r="P546" i="34"/>
  <c r="X546" i="34"/>
  <c r="Q546" i="34"/>
  <c r="R550" i="34"/>
  <c r="V550" i="34"/>
  <c r="AA550" i="34"/>
  <c r="P550" i="34"/>
  <c r="X550" i="34"/>
  <c r="Q550" i="34"/>
  <c r="R554" i="34"/>
  <c r="V554" i="34"/>
  <c r="AA554" i="34"/>
  <c r="P554" i="34"/>
  <c r="X554" i="34"/>
  <c r="Q554" i="34"/>
  <c r="R580" i="34"/>
  <c r="V580" i="34"/>
  <c r="AA580" i="34"/>
  <c r="P580" i="34"/>
  <c r="X580" i="34"/>
  <c r="Q580" i="34"/>
  <c r="R584" i="34"/>
  <c r="V584" i="34"/>
  <c r="AA584" i="34"/>
  <c r="P584" i="34"/>
  <c r="X584" i="34"/>
  <c r="Q584" i="34"/>
  <c r="P613" i="34"/>
  <c r="X613" i="34"/>
  <c r="Q613" i="34"/>
  <c r="R613" i="34"/>
  <c r="V613" i="34"/>
  <c r="AA613" i="34"/>
  <c r="R634" i="34"/>
  <c r="V634" i="34"/>
  <c r="AA634" i="34"/>
  <c r="P634" i="34"/>
  <c r="X634" i="34"/>
  <c r="Q634" i="34"/>
  <c r="R638" i="34"/>
  <c r="V638" i="34"/>
  <c r="AA638" i="34"/>
  <c r="P638" i="34"/>
  <c r="X638" i="34"/>
  <c r="Q638" i="34"/>
  <c r="R642" i="34"/>
  <c r="V642" i="34"/>
  <c r="AA642" i="34"/>
  <c r="P642" i="34"/>
  <c r="X642" i="34"/>
  <c r="Q642" i="34"/>
  <c r="P657" i="34"/>
  <c r="X657" i="34"/>
  <c r="Q657" i="34"/>
  <c r="R657" i="34"/>
  <c r="V657" i="34"/>
  <c r="AA657" i="34"/>
  <c r="P661" i="34"/>
  <c r="X661" i="34"/>
  <c r="Q661" i="34"/>
  <c r="R661" i="34"/>
  <c r="V661" i="34"/>
  <c r="AA661" i="34"/>
  <c r="P667" i="34"/>
  <c r="X667" i="34"/>
  <c r="Q667" i="34"/>
  <c r="R667" i="34"/>
  <c r="V667" i="34"/>
  <c r="AA667" i="34"/>
  <c r="P671" i="34"/>
  <c r="X671" i="34"/>
  <c r="Q671" i="34"/>
  <c r="R671" i="34"/>
  <c r="V671" i="34"/>
  <c r="AA671" i="34"/>
  <c r="P685" i="34"/>
  <c r="X685" i="34"/>
  <c r="Q685" i="34"/>
  <c r="R685" i="34"/>
  <c r="V685" i="34"/>
  <c r="AA685" i="34"/>
  <c r="P689" i="34"/>
  <c r="X689" i="34"/>
  <c r="Q689" i="34"/>
  <c r="R689" i="34"/>
  <c r="V689" i="34"/>
  <c r="AA689" i="34"/>
  <c r="AA715" i="34"/>
  <c r="P715" i="34"/>
  <c r="X715" i="34"/>
  <c r="Q715" i="34"/>
  <c r="R715" i="34"/>
  <c r="V715" i="34"/>
  <c r="AA144" i="34"/>
  <c r="P144" i="34"/>
  <c r="X144" i="34"/>
  <c r="Q144" i="34"/>
  <c r="R144" i="34"/>
  <c r="V144" i="34"/>
  <c r="AA150" i="34"/>
  <c r="P150" i="34"/>
  <c r="X150" i="34"/>
  <c r="Q150" i="34"/>
  <c r="R150" i="34"/>
  <c r="V150" i="34"/>
  <c r="Q157" i="34"/>
  <c r="R157" i="34"/>
  <c r="V157" i="34"/>
  <c r="AA157" i="34"/>
  <c r="P157" i="34"/>
  <c r="X157" i="34"/>
  <c r="Q161" i="34"/>
  <c r="R161" i="34"/>
  <c r="V161" i="34"/>
  <c r="AA161" i="34"/>
  <c r="P161" i="34"/>
  <c r="X161" i="34"/>
  <c r="R182" i="34"/>
  <c r="V182" i="34"/>
  <c r="P182" i="34"/>
  <c r="Q182" i="34"/>
  <c r="AA182" i="34"/>
  <c r="X182" i="34"/>
  <c r="R186" i="34"/>
  <c r="V186" i="34"/>
  <c r="P186" i="34"/>
  <c r="Q186" i="34"/>
  <c r="AA186" i="34"/>
  <c r="X186" i="34"/>
  <c r="AA193" i="34"/>
  <c r="P193" i="34"/>
  <c r="X193" i="34"/>
  <c r="Q193" i="34"/>
  <c r="R193" i="34"/>
  <c r="V193" i="34"/>
  <c r="AA197" i="34"/>
  <c r="P197" i="34"/>
  <c r="X197" i="34"/>
  <c r="Q197" i="34"/>
  <c r="R197" i="34"/>
  <c r="V197" i="34"/>
  <c r="Q206" i="34"/>
  <c r="R206" i="34"/>
  <c r="V206" i="34"/>
  <c r="AA206" i="34"/>
  <c r="P206" i="34"/>
  <c r="X206" i="34"/>
  <c r="Q210" i="34"/>
  <c r="R210" i="34"/>
  <c r="V210" i="34"/>
  <c r="AA210" i="34"/>
  <c r="P210" i="34"/>
  <c r="X210" i="34"/>
  <c r="AA1129" i="34"/>
  <c r="P1129" i="34"/>
  <c r="X1129" i="34"/>
  <c r="Q1129" i="34"/>
  <c r="R1129" i="34"/>
  <c r="V1129" i="34"/>
  <c r="AA1161" i="34"/>
  <c r="P1161" i="34"/>
  <c r="X1161" i="34"/>
  <c r="Q1161" i="34"/>
  <c r="R1161" i="34"/>
  <c r="V1161" i="34"/>
  <c r="Q1192" i="34"/>
  <c r="R1192" i="34"/>
  <c r="V1192" i="34"/>
  <c r="AA1192" i="34"/>
  <c r="P1192" i="34"/>
  <c r="X1192" i="34"/>
  <c r="AA1757" i="34"/>
  <c r="P1757" i="34"/>
  <c r="X1757" i="34"/>
  <c r="Q1757" i="34"/>
  <c r="R1757" i="34"/>
  <c r="V1757" i="34"/>
  <c r="AA1135" i="34"/>
  <c r="P1135" i="34"/>
  <c r="X1135" i="34"/>
  <c r="Q1135" i="34"/>
  <c r="R1135" i="34"/>
  <c r="V1135" i="34"/>
  <c r="AA1139" i="34"/>
  <c r="P1139" i="34"/>
  <c r="X1139" i="34"/>
  <c r="Q1139" i="34"/>
  <c r="R1139" i="34"/>
  <c r="V1139" i="34"/>
  <c r="AA1165" i="34"/>
  <c r="P1165" i="34"/>
  <c r="X1165" i="34"/>
  <c r="Q1165" i="34"/>
  <c r="R1165" i="34"/>
  <c r="V1165" i="34"/>
  <c r="AA1197" i="34"/>
  <c r="P1197" i="34"/>
  <c r="X1197" i="34"/>
  <c r="Q1197" i="34"/>
  <c r="R1197" i="34"/>
  <c r="V1197" i="34"/>
  <c r="Q1756" i="34"/>
  <c r="R1756" i="34"/>
  <c r="V1756" i="34"/>
  <c r="AA1756" i="34"/>
  <c r="P1756" i="34"/>
  <c r="X1756" i="34"/>
  <c r="Q936" i="34"/>
  <c r="R936" i="34"/>
  <c r="V936" i="34"/>
  <c r="AA936" i="34"/>
  <c r="P936" i="34"/>
  <c r="X936" i="34"/>
  <c r="Q1762" i="34"/>
  <c r="R1762" i="34"/>
  <c r="V1762" i="34"/>
  <c r="AA1762" i="34"/>
  <c r="P1762" i="34"/>
  <c r="X1762" i="34"/>
  <c r="Q1136" i="34"/>
  <c r="R1136" i="34"/>
  <c r="V1136" i="34"/>
  <c r="AA1136" i="34"/>
  <c r="P1136" i="34"/>
  <c r="X1136" i="34"/>
  <c r="Q1150" i="34"/>
  <c r="R1150" i="34"/>
  <c r="V1150" i="34"/>
  <c r="AA1150" i="34"/>
  <c r="P1150" i="34"/>
  <c r="X1150" i="34"/>
  <c r="Q1166" i="34"/>
  <c r="R1166" i="34"/>
  <c r="V1166" i="34"/>
  <c r="AA1166" i="34"/>
  <c r="P1166" i="34"/>
  <c r="X1166" i="34"/>
  <c r="Q1180" i="34"/>
  <c r="R1180" i="34"/>
  <c r="V1180" i="34"/>
  <c r="AA1180" i="34"/>
  <c r="P1180" i="34"/>
  <c r="X1180" i="34"/>
  <c r="Q1164" i="34"/>
  <c r="R1164" i="34"/>
  <c r="V1164" i="34"/>
  <c r="AA1164" i="34"/>
  <c r="P1164" i="34"/>
  <c r="X1164" i="34"/>
  <c r="AA1039" i="34"/>
  <c r="P1039" i="34"/>
  <c r="X1039" i="34"/>
  <c r="Q1039" i="34"/>
  <c r="R1039" i="34"/>
  <c r="V1039" i="34"/>
  <c r="AA1087" i="34"/>
  <c r="P1087" i="34"/>
  <c r="X1087" i="34"/>
  <c r="Q1087" i="34"/>
  <c r="R1087" i="34"/>
  <c r="V1087" i="34"/>
  <c r="Q730" i="34"/>
  <c r="R730" i="34"/>
  <c r="V730" i="34"/>
  <c r="AA730" i="34"/>
  <c r="P730" i="34"/>
  <c r="X730" i="34"/>
  <c r="P475" i="34"/>
  <c r="X475" i="34"/>
  <c r="Q475" i="34"/>
  <c r="R475" i="34"/>
  <c r="V475" i="34"/>
  <c r="AA475" i="34"/>
  <c r="R484" i="34"/>
  <c r="V484" i="34"/>
  <c r="AA484" i="34"/>
  <c r="P484" i="34"/>
  <c r="X484" i="34"/>
  <c r="Q484" i="34"/>
  <c r="P489" i="34"/>
  <c r="X489" i="34"/>
  <c r="Q489" i="34"/>
  <c r="R489" i="34"/>
  <c r="V489" i="34"/>
  <c r="AA489" i="34"/>
  <c r="R494" i="34"/>
  <c r="V494" i="34"/>
  <c r="AA494" i="34"/>
  <c r="P494" i="34"/>
  <c r="X494" i="34"/>
  <c r="Q494" i="34"/>
  <c r="R498" i="34"/>
  <c r="V498" i="34"/>
  <c r="AA498" i="34"/>
  <c r="P498" i="34"/>
  <c r="X498" i="34"/>
  <c r="Q498" i="34"/>
  <c r="R502" i="34"/>
  <c r="V502" i="34"/>
  <c r="AA502" i="34"/>
  <c r="P502" i="34"/>
  <c r="X502" i="34"/>
  <c r="Q502" i="34"/>
  <c r="R506" i="34"/>
  <c r="V506" i="34"/>
  <c r="AA506" i="34"/>
  <c r="P506" i="34"/>
  <c r="X506" i="34"/>
  <c r="Q506" i="34"/>
  <c r="R510" i="34"/>
  <c r="V510" i="34"/>
  <c r="AA510" i="34"/>
  <c r="P510" i="34"/>
  <c r="X510" i="34"/>
  <c r="Q510" i="34"/>
  <c r="R542" i="34"/>
  <c r="V542" i="34"/>
  <c r="AA542" i="34"/>
  <c r="P542" i="34"/>
  <c r="X542" i="34"/>
  <c r="Q542" i="34"/>
  <c r="AA925" i="34"/>
  <c r="P925" i="34"/>
  <c r="X925" i="34"/>
  <c r="Q925" i="34"/>
  <c r="R925" i="34"/>
  <c r="V925" i="34"/>
  <c r="AA1057" i="34"/>
  <c r="P1057" i="34"/>
  <c r="X1057" i="34"/>
  <c r="Q1057" i="34"/>
  <c r="R1057" i="34"/>
  <c r="V1057" i="34"/>
  <c r="AA1075" i="34"/>
  <c r="P1075" i="34"/>
  <c r="X1075" i="34"/>
  <c r="Q1075" i="34"/>
  <c r="R1075" i="34"/>
  <c r="V1075" i="34"/>
  <c r="Q732" i="34"/>
  <c r="R732" i="34"/>
  <c r="V732" i="34"/>
  <c r="AA732" i="34"/>
  <c r="P732" i="34"/>
  <c r="X732" i="34"/>
  <c r="Q736" i="34"/>
  <c r="R736" i="34"/>
  <c r="V736" i="34"/>
  <c r="AA736" i="34"/>
  <c r="P736" i="34"/>
  <c r="X736" i="34"/>
  <c r="AA353" i="34"/>
  <c r="P353" i="34"/>
  <c r="X353" i="34"/>
  <c r="Q353" i="34"/>
  <c r="R353" i="34"/>
  <c r="V353" i="34"/>
  <c r="AA357" i="34"/>
  <c r="P357" i="34"/>
  <c r="X357" i="34"/>
  <c r="Q357" i="34"/>
  <c r="R357" i="34"/>
  <c r="V357" i="34"/>
  <c r="AA361" i="34"/>
  <c r="P361" i="34"/>
  <c r="X361" i="34"/>
  <c r="Q361" i="34"/>
  <c r="R361" i="34"/>
  <c r="V361" i="34"/>
  <c r="Q368" i="34"/>
  <c r="R368" i="34"/>
  <c r="V368" i="34"/>
  <c r="AA368" i="34"/>
  <c r="P368" i="34"/>
  <c r="X368" i="34"/>
  <c r="Q372" i="34"/>
  <c r="R372" i="34"/>
  <c r="V372" i="34"/>
  <c r="AA372" i="34"/>
  <c r="P372" i="34"/>
  <c r="X372" i="34"/>
  <c r="Q376" i="34"/>
  <c r="R376" i="34"/>
  <c r="V376" i="34"/>
  <c r="AA376" i="34"/>
  <c r="P376" i="34"/>
  <c r="X376" i="34"/>
  <c r="R470" i="34"/>
  <c r="V470" i="34"/>
  <c r="AA470" i="34"/>
  <c r="P470" i="34"/>
  <c r="X470" i="34"/>
  <c r="Q470" i="34"/>
  <c r="Q1094" i="34"/>
  <c r="R1094" i="34"/>
  <c r="V1094" i="34"/>
  <c r="AA1094" i="34"/>
  <c r="P1094" i="34"/>
  <c r="X1094" i="34"/>
  <c r="Q1102" i="34"/>
  <c r="R1102" i="34"/>
  <c r="V1102" i="34"/>
  <c r="AA1102" i="34"/>
  <c r="P1102" i="34"/>
  <c r="X1102" i="34"/>
  <c r="Q1114" i="34"/>
  <c r="R1114" i="34"/>
  <c r="V1114" i="34"/>
  <c r="AA1114" i="34"/>
  <c r="P1114" i="34"/>
  <c r="X1114" i="34"/>
  <c r="AA213" i="34"/>
  <c r="P213" i="34"/>
  <c r="X213" i="34"/>
  <c r="Q213" i="34"/>
  <c r="R213" i="34"/>
  <c r="V213" i="34"/>
  <c r="Q222" i="34"/>
  <c r="R222" i="34"/>
  <c r="V222" i="34"/>
  <c r="AA222" i="34"/>
  <c r="P222" i="34"/>
  <c r="X222" i="34"/>
  <c r="AA229" i="34"/>
  <c r="P229" i="34"/>
  <c r="X229" i="34"/>
  <c r="Q229" i="34"/>
  <c r="R229" i="34"/>
  <c r="V229" i="34"/>
  <c r="AA233" i="34"/>
  <c r="P233" i="34"/>
  <c r="X233" i="34"/>
  <c r="Q233" i="34"/>
  <c r="R233" i="34"/>
  <c r="V233" i="34"/>
  <c r="AA237" i="34"/>
  <c r="P237" i="34"/>
  <c r="X237" i="34"/>
  <c r="Q237" i="34"/>
  <c r="R237" i="34"/>
  <c r="V237" i="34"/>
  <c r="AA255" i="34"/>
  <c r="P255" i="34"/>
  <c r="X255" i="34"/>
  <c r="Q255" i="34"/>
  <c r="R255" i="34"/>
  <c r="V255" i="34"/>
  <c r="P344" i="34"/>
  <c r="X344" i="34"/>
  <c r="Q344" i="34"/>
  <c r="R344" i="34"/>
  <c r="V344" i="34"/>
  <c r="AA344" i="34"/>
  <c r="Q348" i="34"/>
  <c r="R348" i="34"/>
  <c r="V348" i="34"/>
  <c r="AA348" i="34"/>
  <c r="P348" i="34"/>
  <c r="X348" i="34"/>
  <c r="P513" i="34"/>
  <c r="X513" i="34"/>
  <c r="Q513" i="34"/>
  <c r="R513" i="34"/>
  <c r="V513" i="34"/>
  <c r="AA513" i="34"/>
  <c r="P517" i="34"/>
  <c r="X517" i="34"/>
  <c r="Q517" i="34"/>
  <c r="R517" i="34"/>
  <c r="V517" i="34"/>
  <c r="AA517" i="34"/>
  <c r="P547" i="34"/>
  <c r="X547" i="34"/>
  <c r="Q547" i="34"/>
  <c r="R547" i="34"/>
  <c r="V547" i="34"/>
  <c r="AA547" i="34"/>
  <c r="P551" i="34"/>
  <c r="X551" i="34"/>
  <c r="Q551" i="34"/>
  <c r="R551" i="34"/>
  <c r="V551" i="34"/>
  <c r="AA551" i="34"/>
  <c r="P577" i="34"/>
  <c r="X577" i="34"/>
  <c r="Q577" i="34"/>
  <c r="R577" i="34"/>
  <c r="V577" i="34"/>
  <c r="AA577" i="34"/>
  <c r="P581" i="34"/>
  <c r="X581" i="34"/>
  <c r="Q581" i="34"/>
  <c r="R581" i="34"/>
  <c r="V581" i="34"/>
  <c r="AA581" i="34"/>
  <c r="P585" i="34"/>
  <c r="X585" i="34"/>
  <c r="Q585" i="34"/>
  <c r="R585" i="34"/>
  <c r="V585" i="34"/>
  <c r="AA585" i="34"/>
  <c r="R614" i="34"/>
  <c r="V614" i="34"/>
  <c r="AA614" i="34"/>
  <c r="P614" i="34"/>
  <c r="X614" i="34"/>
  <c r="Q614" i="34"/>
  <c r="P635" i="34"/>
  <c r="X635" i="34"/>
  <c r="Q635" i="34"/>
  <c r="R635" i="34"/>
  <c r="V635" i="34"/>
  <c r="AA635" i="34"/>
  <c r="P639" i="34"/>
  <c r="X639" i="34"/>
  <c r="Q639" i="34"/>
  <c r="R639" i="34"/>
  <c r="V639" i="34"/>
  <c r="AA639" i="34"/>
  <c r="R654" i="34"/>
  <c r="V654" i="34"/>
  <c r="AA654" i="34"/>
  <c r="P654" i="34"/>
  <c r="X654" i="34"/>
  <c r="Q654" i="34"/>
  <c r="R658" i="34"/>
  <c r="V658" i="34"/>
  <c r="AA658" i="34"/>
  <c r="P658" i="34"/>
  <c r="X658" i="34"/>
  <c r="Q658" i="34"/>
  <c r="R662" i="34"/>
  <c r="V662" i="34"/>
  <c r="AA662" i="34"/>
  <c r="P662" i="34"/>
  <c r="X662" i="34"/>
  <c r="Q662" i="34"/>
  <c r="R668" i="34"/>
  <c r="V668" i="34"/>
  <c r="AA668" i="34"/>
  <c r="P668" i="34"/>
  <c r="X668" i="34"/>
  <c r="Q668" i="34"/>
  <c r="R672" i="34"/>
  <c r="V672" i="34"/>
  <c r="AA672" i="34"/>
  <c r="P672" i="34"/>
  <c r="X672" i="34"/>
  <c r="Q672" i="34"/>
  <c r="R686" i="34"/>
  <c r="V686" i="34"/>
  <c r="AA686" i="34"/>
  <c r="P686" i="34"/>
  <c r="X686" i="34"/>
  <c r="Q686" i="34"/>
  <c r="R690" i="34"/>
  <c r="V690" i="34"/>
  <c r="AA690" i="34"/>
  <c r="P690" i="34"/>
  <c r="X690" i="34"/>
  <c r="Q690" i="34"/>
  <c r="Q716" i="34"/>
  <c r="R716" i="34"/>
  <c r="V716" i="34"/>
  <c r="AA716" i="34"/>
  <c r="P716" i="34"/>
  <c r="X716" i="34"/>
  <c r="Q145" i="34"/>
  <c r="R145" i="34"/>
  <c r="V145" i="34"/>
  <c r="AA145" i="34"/>
  <c r="P145" i="34"/>
  <c r="X145" i="34"/>
  <c r="Q151" i="34"/>
  <c r="R151" i="34"/>
  <c r="V151" i="34"/>
  <c r="AA151" i="34"/>
  <c r="P151" i="34"/>
  <c r="X151" i="34"/>
  <c r="AA158" i="34"/>
  <c r="P158" i="34"/>
  <c r="X158" i="34"/>
  <c r="Q158" i="34"/>
  <c r="R158" i="34"/>
  <c r="V158" i="34"/>
  <c r="AA162" i="34"/>
  <c r="P162" i="34"/>
  <c r="X162" i="34"/>
  <c r="Q162" i="34"/>
  <c r="R162" i="34"/>
  <c r="V162" i="34"/>
  <c r="P183" i="34"/>
  <c r="X183" i="34"/>
  <c r="Q183" i="34"/>
  <c r="R183" i="34"/>
  <c r="V183" i="34"/>
  <c r="AA183" i="34"/>
  <c r="P187" i="34"/>
  <c r="X187" i="34"/>
  <c r="Q187" i="34"/>
  <c r="R187" i="34"/>
  <c r="V187" i="34"/>
  <c r="AA187" i="34"/>
  <c r="Q194" i="34"/>
  <c r="R194" i="34"/>
  <c r="V194" i="34"/>
  <c r="AA194" i="34"/>
  <c r="P194" i="34"/>
  <c r="X194" i="34"/>
  <c r="Q198" i="34"/>
  <c r="R198" i="34"/>
  <c r="V198" i="34"/>
  <c r="AA198" i="34"/>
  <c r="P198" i="34"/>
  <c r="X198" i="34"/>
  <c r="AA207" i="34"/>
  <c r="P207" i="34"/>
  <c r="X207" i="34"/>
  <c r="Q207" i="34"/>
  <c r="R207" i="34"/>
  <c r="V207" i="34"/>
  <c r="A1130" i="34"/>
  <c r="A1149" i="34"/>
  <c r="A1179" i="34"/>
  <c r="A1126" i="34"/>
  <c r="A1131" i="34"/>
  <c r="A1140" i="34"/>
  <c r="A1158" i="34"/>
  <c r="A1173" i="34"/>
  <c r="A1193" i="34"/>
  <c r="A1355" i="34"/>
  <c r="A1071" i="34"/>
  <c r="A1086" i="34"/>
  <c r="A1127" i="34"/>
  <c r="A1132" i="34"/>
  <c r="A1137" i="34"/>
  <c r="A1141" i="34"/>
  <c r="A1151" i="34"/>
  <c r="A1160" i="34"/>
  <c r="A1170" i="34"/>
  <c r="A1177" i="34"/>
  <c r="A1194" i="34"/>
  <c r="A1198" i="34"/>
  <c r="A954" i="34"/>
  <c r="A1356" i="34"/>
  <c r="A1039" i="34"/>
  <c r="A1066" i="34"/>
  <c r="A1078" i="34"/>
  <c r="A1087" i="34"/>
  <c r="A1009" i="34"/>
  <c r="A1353" i="34"/>
  <c r="A1360" i="34"/>
  <c r="A1373" i="34"/>
  <c r="A1391" i="34"/>
  <c r="A730" i="34"/>
  <c r="A475" i="34"/>
  <c r="A480" i="34"/>
  <c r="A484" i="34"/>
  <c r="A489" i="34"/>
  <c r="A494" i="34"/>
  <c r="A498" i="34"/>
  <c r="A505" i="34"/>
  <c r="A509" i="34"/>
  <c r="A535" i="34"/>
  <c r="A926" i="34"/>
  <c r="A1059" i="34"/>
  <c r="A1080" i="34"/>
  <c r="A733" i="34"/>
  <c r="A350" i="34"/>
  <c r="A354" i="34"/>
  <c r="A358" i="34"/>
  <c r="A362" i="34"/>
  <c r="A369" i="34"/>
  <c r="A371" i="34"/>
  <c r="A375" i="34"/>
  <c r="A472" i="34"/>
  <c r="A1100" i="34"/>
  <c r="A1112" i="34"/>
  <c r="A211" i="34"/>
  <c r="A222" i="34"/>
  <c r="A229" i="34"/>
  <c r="A233" i="34"/>
  <c r="A237" i="34"/>
  <c r="A255" i="34"/>
  <c r="A344" i="34"/>
  <c r="A348" i="34"/>
  <c r="A513" i="34"/>
  <c r="A517" i="34"/>
  <c r="A547" i="34"/>
  <c r="A551" i="34"/>
  <c r="A577" i="34"/>
  <c r="A581" i="34"/>
  <c r="A585" i="34"/>
  <c r="A614" i="34"/>
  <c r="A615" i="34"/>
  <c r="A636" i="34"/>
  <c r="A640" i="34"/>
  <c r="A655" i="34"/>
  <c r="A659" i="34"/>
  <c r="A665" i="34"/>
  <c r="A669" i="34"/>
  <c r="A673" i="34"/>
  <c r="A687" i="34"/>
  <c r="A691" i="34"/>
  <c r="A717" i="34"/>
  <c r="A147" i="34"/>
  <c r="A155" i="34"/>
  <c r="A159" i="34"/>
  <c r="A180" i="34"/>
  <c r="A184" i="34"/>
  <c r="A188" i="34"/>
  <c r="A195" i="34"/>
  <c r="A199" i="34"/>
  <c r="A208" i="34"/>
  <c r="A1382" i="34"/>
  <c r="A1129" i="34"/>
  <c r="A1134" i="34"/>
  <c r="A1138" i="34"/>
  <c r="A1148" i="34"/>
  <c r="A1152" i="34"/>
  <c r="A1161" i="34"/>
  <c r="A1171" i="34"/>
  <c r="A1178" i="34"/>
  <c r="A1191" i="34"/>
  <c r="A1195" i="34"/>
  <c r="A1216" i="34"/>
  <c r="A1163" i="34"/>
  <c r="A955" i="34"/>
  <c r="A1351" i="34"/>
  <c r="A1040" i="34"/>
  <c r="A1067" i="34"/>
  <c r="A967" i="34"/>
  <c r="A1206" i="34"/>
  <c r="A1010" i="34"/>
  <c r="A1354" i="34"/>
  <c r="A1361" i="34"/>
  <c r="A1387" i="34"/>
  <c r="A1410" i="34"/>
  <c r="A363" i="34"/>
  <c r="A477" i="34"/>
  <c r="A481" i="34"/>
  <c r="A485" i="34"/>
  <c r="A490" i="34"/>
  <c r="A495" i="34"/>
  <c r="A499" i="34"/>
  <c r="A502" i="34"/>
  <c r="A506" i="34"/>
  <c r="A510" i="34"/>
  <c r="A542" i="34"/>
  <c r="A1041" i="34"/>
  <c r="A1068" i="34"/>
  <c r="A1081" i="34"/>
  <c r="A734" i="34"/>
  <c r="A351" i="34"/>
  <c r="A355" i="34"/>
  <c r="A359" i="34"/>
  <c r="A366" i="34"/>
  <c r="A370" i="34"/>
  <c r="A372" i="34"/>
  <c r="A376" i="34"/>
  <c r="A469" i="34"/>
  <c r="A473" i="34"/>
  <c r="A1101" i="34"/>
  <c r="A1113" i="34"/>
  <c r="A212" i="34"/>
  <c r="A223" i="34"/>
  <c r="A230" i="34"/>
  <c r="A234" i="34"/>
  <c r="A252" i="34"/>
  <c r="A256" i="34"/>
  <c r="A345" i="34"/>
  <c r="A349" i="34"/>
  <c r="A514" i="34"/>
  <c r="A518" i="34"/>
  <c r="A548" i="34"/>
  <c r="A552" i="34"/>
  <c r="A578" i="34"/>
  <c r="A582" i="34"/>
  <c r="A611" i="34"/>
  <c r="A616" i="34"/>
  <c r="A637" i="34"/>
  <c r="A641" i="34"/>
  <c r="A656" i="34"/>
  <c r="A660" i="34"/>
  <c r="A666" i="34"/>
  <c r="A670" i="34"/>
  <c r="A684" i="34"/>
  <c r="A688" i="34"/>
  <c r="A692" i="34"/>
  <c r="A143" i="34"/>
  <c r="A148" i="34"/>
  <c r="A156" i="34"/>
  <c r="A160" i="34"/>
  <c r="A181" i="34"/>
  <c r="A185" i="34"/>
  <c r="A192" i="34"/>
  <c r="A196" i="34"/>
  <c r="A205" i="34"/>
  <c r="A209" i="34"/>
  <c r="A1135" i="34"/>
  <c r="A1157" i="34"/>
  <c r="A1172" i="34"/>
  <c r="A1192" i="34"/>
  <c r="A1196" i="34"/>
  <c r="A1217" i="34"/>
  <c r="A1164" i="34"/>
  <c r="A956" i="34"/>
  <c r="A1070" i="34"/>
  <c r="A1072" i="34"/>
  <c r="A968" i="34"/>
  <c r="A935" i="34"/>
  <c r="A1008" i="34"/>
  <c r="A1358" i="34"/>
  <c r="A1362" i="34"/>
  <c r="A1388" i="34"/>
  <c r="A1408" i="34"/>
  <c r="A364" i="34"/>
  <c r="A478" i="34"/>
  <c r="A482" i="34"/>
  <c r="A486" i="34"/>
  <c r="A491" i="34"/>
  <c r="A496" i="34"/>
  <c r="A500" i="34"/>
  <c r="A503" i="34"/>
  <c r="A507" i="34"/>
  <c r="A533" i="34"/>
  <c r="A543" i="34"/>
  <c r="A924" i="34"/>
  <c r="A1042" i="34"/>
  <c r="A1074" i="34"/>
  <c r="A1083" i="34"/>
  <c r="A735" i="34"/>
  <c r="A352" i="34"/>
  <c r="A356" i="34"/>
  <c r="A360" i="34"/>
  <c r="A367" i="34"/>
  <c r="A373" i="34"/>
  <c r="A377" i="34"/>
  <c r="A470" i="34"/>
  <c r="A1094" i="34"/>
  <c r="A1102" i="34"/>
  <c r="A1114" i="34"/>
  <c r="A213" i="34"/>
  <c r="A220" i="34"/>
  <c r="A224" i="34"/>
  <c r="A231" i="34"/>
  <c r="A235" i="34"/>
  <c r="A253" i="34"/>
  <c r="A342" i="34"/>
  <c r="A346" i="34"/>
  <c r="A511" i="34"/>
  <c r="A515" i="34"/>
  <c r="A519" i="34"/>
  <c r="A549" i="34"/>
  <c r="A553" i="34"/>
  <c r="A579" i="34"/>
  <c r="A583" i="34"/>
  <c r="A612" i="34"/>
  <c r="A634" i="34"/>
  <c r="A638" i="34"/>
  <c r="A642" i="34"/>
  <c r="A657" i="34"/>
  <c r="A661" i="34"/>
  <c r="A667" i="34"/>
  <c r="A671" i="34"/>
  <c r="A685" i="34"/>
  <c r="A689" i="34"/>
  <c r="A715" i="34"/>
  <c r="A144" i="34"/>
  <c r="A150" i="34"/>
  <c r="A157" i="34"/>
  <c r="A161" i="34"/>
  <c r="A182" i="34"/>
  <c r="A186" i="34"/>
  <c r="A193" i="34"/>
  <c r="A197" i="34"/>
  <c r="A206" i="34"/>
  <c r="A210" i="34"/>
  <c r="A1411" i="34"/>
  <c r="A1139" i="34"/>
  <c r="A1165" i="34"/>
  <c r="A1136" i="34"/>
  <c r="A1150" i="34"/>
  <c r="A1166" i="34"/>
  <c r="A1180" i="34"/>
  <c r="A1197" i="34"/>
  <c r="A1186" i="34"/>
  <c r="A1073" i="34"/>
  <c r="A936" i="34"/>
  <c r="A1359" i="34"/>
  <c r="A1372" i="34"/>
  <c r="A1389" i="34"/>
  <c r="A1409" i="34"/>
  <c r="A719" i="34"/>
  <c r="A474" i="34"/>
  <c r="A479" i="34"/>
  <c r="A483" i="34"/>
  <c r="A487" i="34"/>
  <c r="A492" i="34"/>
  <c r="A497" i="34"/>
  <c r="A501" i="34"/>
  <c r="A504" i="34"/>
  <c r="A508" i="34"/>
  <c r="A534" i="34"/>
  <c r="A917" i="34"/>
  <c r="A925" i="34"/>
  <c r="A1057" i="34"/>
  <c r="A1075" i="34"/>
  <c r="A732" i="34"/>
  <c r="A736" i="34"/>
  <c r="A353" i="34"/>
  <c r="A357" i="34"/>
  <c r="A361" i="34"/>
  <c r="A368" i="34"/>
  <c r="A374" i="34"/>
  <c r="A378" i="34"/>
  <c r="A471" i="34"/>
  <c r="A1095" i="34"/>
  <c r="A1103" i="34"/>
  <c r="A1115" i="34"/>
  <c r="A219" i="34"/>
  <c r="A221" i="34"/>
  <c r="A225" i="34"/>
  <c r="A232" i="34"/>
  <c r="A236" i="34"/>
  <c r="A254" i="34"/>
  <c r="A343" i="34"/>
  <c r="A347" i="34"/>
  <c r="A512" i="34"/>
  <c r="A516" i="34"/>
  <c r="A546" i="34"/>
  <c r="A550" i="34"/>
  <c r="A554" i="34"/>
  <c r="A580" i="34"/>
  <c r="A584" i="34"/>
  <c r="A613" i="34"/>
  <c r="A635" i="34"/>
  <c r="A639" i="34"/>
  <c r="A654" i="34"/>
  <c r="A658" i="34"/>
  <c r="A662" i="34"/>
  <c r="A668" i="34"/>
  <c r="A672" i="34"/>
  <c r="A686" i="34"/>
  <c r="A690" i="34"/>
  <c r="A716" i="34"/>
  <c r="A145" i="34"/>
  <c r="A151" i="34"/>
  <c r="A158" i="34"/>
  <c r="A162" i="34"/>
  <c r="A183" i="34"/>
  <c r="A187" i="34"/>
  <c r="A194" i="34"/>
  <c r="A198" i="34"/>
  <c r="A207" i="34"/>
  <c r="A1609" i="34"/>
  <c r="A1606" i="34"/>
  <c r="A1758" i="34"/>
  <c r="A1607" i="34"/>
  <c r="A1621" i="34"/>
  <c r="A1757" i="34"/>
  <c r="A1759" i="34"/>
  <c r="A1532" i="34"/>
  <c r="A1464" i="34"/>
  <c r="A1558" i="34"/>
  <c r="A1567" i="34"/>
  <c r="A1763" i="34"/>
  <c r="A1620" i="34"/>
  <c r="A1608" i="34"/>
  <c r="A1618" i="34"/>
  <c r="A1762" i="34"/>
  <c r="A1760" i="34"/>
  <c r="A1465" i="34"/>
  <c r="A1544" i="34"/>
  <c r="A1564" i="34"/>
  <c r="A1569" i="34"/>
  <c r="A1533" i="34"/>
  <c r="A1761" i="34"/>
  <c r="A1466" i="34"/>
  <c r="A1556" i="34"/>
  <c r="A1565" i="34"/>
  <c r="A1571" i="34"/>
  <c r="A1619" i="34"/>
  <c r="A1634" i="34"/>
  <c r="A1534" i="34"/>
  <c r="A1756" i="34"/>
  <c r="A1467" i="34"/>
  <c r="A1557" i="34"/>
  <c r="A1566" i="34"/>
  <c r="B97" i="34"/>
  <c r="B98" i="34"/>
  <c r="B126" i="34"/>
  <c r="B1044" i="34"/>
  <c r="B522" i="34"/>
  <c r="Q1044" i="34" l="1"/>
  <c r="R1044" i="34"/>
  <c r="V1044" i="34"/>
  <c r="AA1044" i="34"/>
  <c r="P1044" i="34"/>
  <c r="X1044" i="34"/>
  <c r="P98" i="34"/>
  <c r="X98" i="34"/>
  <c r="Q98" i="34"/>
  <c r="R98" i="34"/>
  <c r="V98" i="34"/>
  <c r="AA98" i="34"/>
  <c r="P126" i="34"/>
  <c r="X126" i="34"/>
  <c r="R126" i="34"/>
  <c r="V126" i="34"/>
  <c r="AA126" i="34"/>
  <c r="Q126" i="34"/>
  <c r="R522" i="34"/>
  <c r="V522" i="34"/>
  <c r="AA522" i="34"/>
  <c r="P522" i="34"/>
  <c r="X522" i="34"/>
  <c r="Q522" i="34"/>
  <c r="R97" i="34"/>
  <c r="V97" i="34"/>
  <c r="AA97" i="34"/>
  <c r="P97" i="34"/>
  <c r="X97" i="34"/>
  <c r="Q97" i="34"/>
  <c r="A97" i="34"/>
  <c r="A522" i="34"/>
  <c r="A1044" i="34"/>
  <c r="A126" i="34"/>
  <c r="A98" i="34"/>
  <c r="B1052" i="34"/>
  <c r="B1719" i="34"/>
  <c r="Q1052" i="34" l="1"/>
  <c r="R1052" i="34"/>
  <c r="V1052" i="34"/>
  <c r="AA1052" i="34"/>
  <c r="P1052" i="34"/>
  <c r="X1052" i="34"/>
  <c r="AA1719" i="34"/>
  <c r="P1719" i="34"/>
  <c r="X1719" i="34"/>
  <c r="Q1719" i="34"/>
  <c r="R1719" i="34"/>
  <c r="V1719" i="34"/>
  <c r="A1052" i="34"/>
  <c r="A1559" i="34"/>
  <c r="A1622" i="34"/>
  <c r="A1719" i="34"/>
  <c r="A1635" i="34"/>
  <c r="I18" i="54" l="1"/>
  <c r="B64" i="34"/>
  <c r="AA64" i="34" l="1"/>
  <c r="P64" i="34"/>
  <c r="X64" i="34"/>
  <c r="Q64" i="34"/>
  <c r="R64" i="34"/>
  <c r="V64" i="34"/>
  <c r="A64" i="34"/>
  <c r="N11" i="34"/>
  <c r="N12" i="34"/>
  <c r="N10" i="34"/>
  <c r="N5" i="77"/>
  <c r="O5" i="77" l="1"/>
  <c r="L5" i="75"/>
  <c r="M5" i="75"/>
  <c r="P5" i="74"/>
  <c r="O5" i="74"/>
  <c r="B1187" i="34" l="1"/>
  <c r="B969" i="34"/>
  <c r="B520" i="34"/>
  <c r="B521" i="34"/>
  <c r="R520" i="34" l="1"/>
  <c r="V520" i="34"/>
  <c r="AA520" i="34"/>
  <c r="P520" i="34"/>
  <c r="X520" i="34"/>
  <c r="Q520" i="34"/>
  <c r="AA969" i="34"/>
  <c r="P969" i="34"/>
  <c r="X969" i="34"/>
  <c r="Q969" i="34"/>
  <c r="R969" i="34"/>
  <c r="V969" i="34"/>
  <c r="AA1187" i="34"/>
  <c r="P1187" i="34"/>
  <c r="X1187" i="34"/>
  <c r="Q1187" i="34"/>
  <c r="R1187" i="34"/>
  <c r="V1187" i="34"/>
  <c r="P521" i="34"/>
  <c r="X521" i="34"/>
  <c r="Q521" i="34"/>
  <c r="R521" i="34"/>
  <c r="V521" i="34"/>
  <c r="AA521" i="34"/>
  <c r="A520" i="34"/>
  <c r="A969" i="34"/>
  <c r="A1187" i="34"/>
  <c r="A521" i="34"/>
  <c r="B137" i="34"/>
  <c r="B136" i="34"/>
  <c r="P136" i="34" l="1"/>
  <c r="X136" i="34"/>
  <c r="AA136" i="34"/>
  <c r="R136" i="34"/>
  <c r="V136" i="34"/>
  <c r="Q136" i="34"/>
  <c r="R137" i="34"/>
  <c r="V137" i="34"/>
  <c r="Q137" i="34"/>
  <c r="P137" i="34"/>
  <c r="AA137" i="34"/>
  <c r="X137" i="34"/>
  <c r="A137" i="34"/>
  <c r="A136" i="34"/>
  <c r="B216" i="34"/>
  <c r="B138" i="34"/>
  <c r="B14" i="55"/>
  <c r="A14" i="55" s="1"/>
  <c r="AA138" i="34" l="1"/>
  <c r="P138" i="34"/>
  <c r="Q138" i="34"/>
  <c r="R138" i="34"/>
  <c r="V138" i="34"/>
  <c r="X138" i="34"/>
  <c r="Q216" i="34"/>
  <c r="R216" i="34"/>
  <c r="V216" i="34"/>
  <c r="AA216" i="34"/>
  <c r="P216" i="34"/>
  <c r="X216" i="34"/>
  <c r="A138" i="34"/>
  <c r="A21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0" i="34" l="1"/>
  <c r="B89" i="34"/>
  <c r="Q89" i="34" l="1"/>
  <c r="P89" i="34"/>
  <c r="X89" i="34"/>
  <c r="R89" i="34"/>
  <c r="V89" i="34"/>
  <c r="AA89" i="34"/>
  <c r="R90" i="34"/>
  <c r="V90" i="34"/>
  <c r="X90" i="34"/>
  <c r="P90" i="34"/>
  <c r="Q90" i="34"/>
  <c r="AA90" i="34"/>
  <c r="A89" i="34"/>
  <c r="A90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68" i="34" l="1"/>
  <c r="B567" i="34"/>
  <c r="B556" i="34"/>
  <c r="B565" i="34"/>
  <c r="B564" i="34"/>
  <c r="B563" i="34"/>
  <c r="B562" i="34"/>
  <c r="B561" i="34"/>
  <c r="B560" i="34"/>
  <c r="B1209" i="34"/>
  <c r="B605" i="34"/>
  <c r="B604" i="34"/>
  <c r="B595" i="34"/>
  <c r="B594" i="34"/>
  <c r="B544" i="34"/>
  <c r="B633" i="34"/>
  <c r="B632" i="34"/>
  <c r="B247" i="34"/>
  <c r="B246" i="34"/>
  <c r="B245" i="34"/>
  <c r="B242" i="34"/>
  <c r="B217" i="34"/>
  <c r="B204" i="34"/>
  <c r="B218" i="34"/>
  <c r="B239" i="34"/>
  <c r="B240" i="34"/>
  <c r="B241" i="34"/>
  <c r="B243" i="34"/>
  <c r="B244" i="34"/>
  <c r="B248" i="34"/>
  <c r="B249" i="34"/>
  <c r="B250" i="34"/>
  <c r="B251" i="34"/>
  <c r="B263" i="34"/>
  <c r="B264" i="34"/>
  <c r="B1210" i="34"/>
  <c r="B922" i="34"/>
  <c r="B557" i="34"/>
  <c r="B569" i="34"/>
  <c r="B570" i="34"/>
  <c r="B571" i="34"/>
  <c r="B572" i="34"/>
  <c r="B574" i="34"/>
  <c r="B575" i="34"/>
  <c r="B576" i="34"/>
  <c r="B586" i="34"/>
  <c r="B587" i="34"/>
  <c r="B589" i="34"/>
  <c r="B590" i="34"/>
  <c r="B591" i="34"/>
  <c r="B592" i="34"/>
  <c r="B593" i="34"/>
  <c r="B597" i="34"/>
  <c r="B598" i="34"/>
  <c r="B599" i="34"/>
  <c r="B600" i="34"/>
  <c r="B601" i="34"/>
  <c r="B602" i="34"/>
  <c r="B603" i="34"/>
  <c r="B617" i="34"/>
  <c r="B618" i="34"/>
  <c r="B627" i="34"/>
  <c r="B628" i="34"/>
  <c r="B620" i="34"/>
  <c r="B630" i="34"/>
  <c r="B631" i="34"/>
  <c r="B647" i="34"/>
  <c r="B648" i="34"/>
  <c r="B649" i="34"/>
  <c r="B650" i="34"/>
  <c r="B651" i="34"/>
  <c r="B652" i="34"/>
  <c r="B653" i="34"/>
  <c r="B694" i="34"/>
  <c r="B695" i="34"/>
  <c r="B696" i="34"/>
  <c r="B697" i="34"/>
  <c r="B606" i="34"/>
  <c r="B607" i="34"/>
  <c r="B608" i="34"/>
  <c r="B609" i="34"/>
  <c r="B610" i="34"/>
  <c r="B623" i="34"/>
  <c r="B624" i="34"/>
  <c r="B625" i="34"/>
  <c r="B626" i="34"/>
  <c r="B675" i="34"/>
  <c r="B676" i="34"/>
  <c r="B677" i="34"/>
  <c r="B678" i="34"/>
  <c r="B679" i="34"/>
  <c r="B680" i="34"/>
  <c r="B681" i="34"/>
  <c r="B682" i="34"/>
  <c r="B683" i="34"/>
  <c r="B705" i="34"/>
  <c r="B706" i="34"/>
  <c r="B707" i="34"/>
  <c r="B708" i="34"/>
  <c r="B709" i="34"/>
  <c r="B710" i="34"/>
  <c r="B711" i="34"/>
  <c r="B712" i="34"/>
  <c r="B713" i="34"/>
  <c r="B714" i="34"/>
  <c r="B720" i="34"/>
  <c r="B721" i="34"/>
  <c r="B722" i="34"/>
  <c r="B723" i="34"/>
  <c r="B724" i="34"/>
  <c r="B725" i="34"/>
  <c r="B726" i="34"/>
  <c r="B727" i="34"/>
  <c r="B728" i="34"/>
  <c r="B729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698" i="34"/>
  <c r="B699" i="34"/>
  <c r="B700" i="34"/>
  <c r="B701" i="34"/>
  <c r="B702" i="34"/>
  <c r="B703" i="34"/>
  <c r="B751" i="34"/>
  <c r="B752" i="34"/>
  <c r="B753" i="34"/>
  <c r="I13" i="71"/>
  <c r="O11" i="42"/>
  <c r="N11" i="42"/>
  <c r="AA751" i="34" l="1"/>
  <c r="P751" i="34"/>
  <c r="X751" i="34"/>
  <c r="Q751" i="34"/>
  <c r="R751" i="34"/>
  <c r="V751" i="34"/>
  <c r="R700" i="34"/>
  <c r="V700" i="34"/>
  <c r="AA700" i="34"/>
  <c r="P700" i="34"/>
  <c r="X700" i="34"/>
  <c r="Q700" i="34"/>
  <c r="AA749" i="34"/>
  <c r="P749" i="34"/>
  <c r="X749" i="34"/>
  <c r="Q749" i="34"/>
  <c r="R749" i="34"/>
  <c r="V749" i="34"/>
  <c r="AA745" i="34"/>
  <c r="P745" i="34"/>
  <c r="X745" i="34"/>
  <c r="Q745" i="34"/>
  <c r="R745" i="34"/>
  <c r="V745" i="34"/>
  <c r="AA741" i="34"/>
  <c r="P741" i="34"/>
  <c r="X741" i="34"/>
  <c r="Q741" i="34"/>
  <c r="R741" i="34"/>
  <c r="V741" i="34"/>
  <c r="AA737" i="34"/>
  <c r="P737" i="34"/>
  <c r="X737" i="34"/>
  <c r="Q737" i="34"/>
  <c r="R737" i="34"/>
  <c r="V737" i="34"/>
  <c r="Q726" i="34"/>
  <c r="R726" i="34"/>
  <c r="V726" i="34"/>
  <c r="AA726" i="34"/>
  <c r="P726" i="34"/>
  <c r="X726" i="34"/>
  <c r="Q722" i="34"/>
  <c r="R722" i="34"/>
  <c r="V722" i="34"/>
  <c r="AA722" i="34"/>
  <c r="P722" i="34"/>
  <c r="X722" i="34"/>
  <c r="AA713" i="34"/>
  <c r="P713" i="34"/>
  <c r="X713" i="34"/>
  <c r="Q713" i="34"/>
  <c r="R713" i="34"/>
  <c r="V713" i="34"/>
  <c r="AA709" i="34"/>
  <c r="P709" i="34"/>
  <c r="X709" i="34"/>
  <c r="Q709" i="34"/>
  <c r="R709" i="34"/>
  <c r="V709" i="34"/>
  <c r="AA705" i="34"/>
  <c r="P705" i="34"/>
  <c r="X705" i="34"/>
  <c r="Q705" i="34"/>
  <c r="R705" i="34"/>
  <c r="V705" i="34"/>
  <c r="R680" i="34"/>
  <c r="V680" i="34"/>
  <c r="AA680" i="34"/>
  <c r="P680" i="34"/>
  <c r="X680" i="34"/>
  <c r="Q680" i="34"/>
  <c r="R676" i="34"/>
  <c r="V676" i="34"/>
  <c r="AA676" i="34"/>
  <c r="P676" i="34"/>
  <c r="X676" i="34"/>
  <c r="Q676" i="34"/>
  <c r="R624" i="34"/>
  <c r="V624" i="34"/>
  <c r="AA624" i="34"/>
  <c r="P624" i="34"/>
  <c r="X624" i="34"/>
  <c r="Q624" i="34"/>
  <c r="R608" i="34"/>
  <c r="V608" i="34"/>
  <c r="AA608" i="34"/>
  <c r="P608" i="34"/>
  <c r="X608" i="34"/>
  <c r="Q608" i="34"/>
  <c r="R696" i="34"/>
  <c r="V696" i="34"/>
  <c r="AA696" i="34"/>
  <c r="P696" i="34"/>
  <c r="X696" i="34"/>
  <c r="Q696" i="34"/>
  <c r="R652" i="34"/>
  <c r="V652" i="34"/>
  <c r="AA652" i="34"/>
  <c r="P652" i="34"/>
  <c r="X652" i="34"/>
  <c r="Q652" i="34"/>
  <c r="R648" i="34"/>
  <c r="V648" i="34"/>
  <c r="AA648" i="34"/>
  <c r="P648" i="34"/>
  <c r="X648" i="34"/>
  <c r="Q648" i="34"/>
  <c r="R620" i="34"/>
  <c r="V620" i="34"/>
  <c r="AA620" i="34"/>
  <c r="P620" i="34"/>
  <c r="X620" i="34"/>
  <c r="Q620" i="34"/>
  <c r="P617" i="34"/>
  <c r="X617" i="34"/>
  <c r="Q617" i="34"/>
  <c r="R617" i="34"/>
  <c r="V617" i="34"/>
  <c r="AA617" i="34"/>
  <c r="R600" i="34"/>
  <c r="V600" i="34"/>
  <c r="AA600" i="34"/>
  <c r="P600" i="34"/>
  <c r="X600" i="34"/>
  <c r="Q600" i="34"/>
  <c r="P593" i="34"/>
  <c r="X593" i="34"/>
  <c r="Q593" i="34"/>
  <c r="R593" i="34"/>
  <c r="V593" i="34"/>
  <c r="AA593" i="34"/>
  <c r="P589" i="34"/>
  <c r="X589" i="34"/>
  <c r="Q589" i="34"/>
  <c r="R589" i="34"/>
  <c r="V589" i="34"/>
  <c r="AA589" i="34"/>
  <c r="P575" i="34"/>
  <c r="X575" i="34"/>
  <c r="Q575" i="34"/>
  <c r="R575" i="34"/>
  <c r="V575" i="34"/>
  <c r="AA575" i="34"/>
  <c r="R570" i="34"/>
  <c r="V570" i="34"/>
  <c r="AA570" i="34"/>
  <c r="P570" i="34"/>
  <c r="X570" i="34"/>
  <c r="Q570" i="34"/>
  <c r="Q1210" i="34"/>
  <c r="R1210" i="34"/>
  <c r="V1210" i="34"/>
  <c r="AA1210" i="34"/>
  <c r="P1210" i="34"/>
  <c r="X1210" i="34"/>
  <c r="Q250" i="34"/>
  <c r="R250" i="34"/>
  <c r="V250" i="34"/>
  <c r="AA250" i="34"/>
  <c r="P250" i="34"/>
  <c r="X250" i="34"/>
  <c r="AA243" i="34"/>
  <c r="P243" i="34"/>
  <c r="X243" i="34"/>
  <c r="Q243" i="34"/>
  <c r="R243" i="34"/>
  <c r="V243" i="34"/>
  <c r="Q218" i="34"/>
  <c r="R218" i="34"/>
  <c r="V218" i="34"/>
  <c r="AA218" i="34"/>
  <c r="P218" i="34"/>
  <c r="X218" i="34"/>
  <c r="AA245" i="34"/>
  <c r="P245" i="34"/>
  <c r="X245" i="34"/>
  <c r="Q245" i="34"/>
  <c r="R245" i="34"/>
  <c r="V245" i="34"/>
  <c r="P633" i="34"/>
  <c r="X633" i="34"/>
  <c r="Q633" i="34"/>
  <c r="R633" i="34"/>
  <c r="V633" i="34"/>
  <c r="AA633" i="34"/>
  <c r="R604" i="34"/>
  <c r="V604" i="34"/>
  <c r="AA604" i="34"/>
  <c r="P604" i="34"/>
  <c r="X604" i="34"/>
  <c r="Q604" i="34"/>
  <c r="P561" i="34"/>
  <c r="X561" i="34"/>
  <c r="Q561" i="34"/>
  <c r="R561" i="34"/>
  <c r="V561" i="34"/>
  <c r="AA561" i="34"/>
  <c r="P565" i="34"/>
  <c r="X565" i="34"/>
  <c r="Q565" i="34"/>
  <c r="R565" i="34"/>
  <c r="V565" i="34"/>
  <c r="AA565" i="34"/>
  <c r="P703" i="34"/>
  <c r="X703" i="34"/>
  <c r="Q703" i="34"/>
  <c r="R703" i="34"/>
  <c r="V703" i="34"/>
  <c r="AA703" i="34"/>
  <c r="P699" i="34"/>
  <c r="X699" i="34"/>
  <c r="Q699" i="34"/>
  <c r="R699" i="34"/>
  <c r="V699" i="34"/>
  <c r="AA699" i="34"/>
  <c r="Q748" i="34"/>
  <c r="R748" i="34"/>
  <c r="V748" i="34"/>
  <c r="AA748" i="34"/>
  <c r="P748" i="34"/>
  <c r="X748" i="34"/>
  <c r="Q744" i="34"/>
  <c r="R744" i="34"/>
  <c r="V744" i="34"/>
  <c r="AA744" i="34"/>
  <c r="P744" i="34"/>
  <c r="X744" i="34"/>
  <c r="Q740" i="34"/>
  <c r="R740" i="34"/>
  <c r="V740" i="34"/>
  <c r="AA740" i="34"/>
  <c r="P740" i="34"/>
  <c r="X740" i="34"/>
  <c r="AA729" i="34"/>
  <c r="P729" i="34"/>
  <c r="X729" i="34"/>
  <c r="Q729" i="34"/>
  <c r="R729" i="34"/>
  <c r="V729" i="34"/>
  <c r="AA725" i="34"/>
  <c r="P725" i="34"/>
  <c r="X725" i="34"/>
  <c r="Q725" i="34"/>
  <c r="R725" i="34"/>
  <c r="V725" i="34"/>
  <c r="AA721" i="34"/>
  <c r="P721" i="34"/>
  <c r="X721" i="34"/>
  <c r="Q721" i="34"/>
  <c r="R721" i="34"/>
  <c r="V721" i="34"/>
  <c r="Q712" i="34"/>
  <c r="R712" i="34"/>
  <c r="V712" i="34"/>
  <c r="AA712" i="34"/>
  <c r="P712" i="34"/>
  <c r="X712" i="34"/>
  <c r="Q708" i="34"/>
  <c r="R708" i="34"/>
  <c r="V708" i="34"/>
  <c r="AA708" i="34"/>
  <c r="P708" i="34"/>
  <c r="X708" i="34"/>
  <c r="P683" i="34"/>
  <c r="X683" i="34"/>
  <c r="Q683" i="34"/>
  <c r="R683" i="34"/>
  <c r="V683" i="34"/>
  <c r="AA683" i="34"/>
  <c r="P679" i="34"/>
  <c r="X679" i="34"/>
  <c r="Q679" i="34"/>
  <c r="R679" i="34"/>
  <c r="V679" i="34"/>
  <c r="AA679" i="34"/>
  <c r="P675" i="34"/>
  <c r="X675" i="34"/>
  <c r="Q675" i="34"/>
  <c r="R675" i="34"/>
  <c r="V675" i="34"/>
  <c r="AA675" i="34"/>
  <c r="P623" i="34"/>
  <c r="X623" i="34"/>
  <c r="Q623" i="34"/>
  <c r="R623" i="34"/>
  <c r="V623" i="34"/>
  <c r="AA623" i="34"/>
  <c r="P607" i="34"/>
  <c r="X607" i="34"/>
  <c r="Q607" i="34"/>
  <c r="R607" i="34"/>
  <c r="V607" i="34"/>
  <c r="AA607" i="34"/>
  <c r="P695" i="34"/>
  <c r="X695" i="34"/>
  <c r="Q695" i="34"/>
  <c r="R695" i="34"/>
  <c r="V695" i="34"/>
  <c r="AA695" i="34"/>
  <c r="P651" i="34"/>
  <c r="X651" i="34"/>
  <c r="Q651" i="34"/>
  <c r="R651" i="34"/>
  <c r="V651" i="34"/>
  <c r="AA651" i="34"/>
  <c r="P647" i="34"/>
  <c r="X647" i="34"/>
  <c r="Q647" i="34"/>
  <c r="R647" i="34"/>
  <c r="V647" i="34"/>
  <c r="AA647" i="34"/>
  <c r="R628" i="34"/>
  <c r="V628" i="34"/>
  <c r="AA628" i="34"/>
  <c r="P628" i="34"/>
  <c r="X628" i="34"/>
  <c r="Q628" i="34"/>
  <c r="P603" i="34"/>
  <c r="X603" i="34"/>
  <c r="Q603" i="34"/>
  <c r="R603" i="34"/>
  <c r="V603" i="34"/>
  <c r="AA603" i="34"/>
  <c r="P599" i="34"/>
  <c r="X599" i="34"/>
  <c r="Q599" i="34"/>
  <c r="R599" i="34"/>
  <c r="V599" i="34"/>
  <c r="AA599" i="34"/>
  <c r="R592" i="34"/>
  <c r="V592" i="34"/>
  <c r="AA592" i="34"/>
  <c r="P592" i="34"/>
  <c r="X592" i="34"/>
  <c r="Q592" i="34"/>
  <c r="P587" i="34"/>
  <c r="X587" i="34"/>
  <c r="Q587" i="34"/>
  <c r="R587" i="34"/>
  <c r="V587" i="34"/>
  <c r="AA587" i="34"/>
  <c r="R574" i="34"/>
  <c r="V574" i="34"/>
  <c r="AA574" i="34"/>
  <c r="P574" i="34"/>
  <c r="X574" i="34"/>
  <c r="Q574" i="34"/>
  <c r="P569" i="34"/>
  <c r="X569" i="34"/>
  <c r="Q569" i="34"/>
  <c r="R569" i="34"/>
  <c r="V569" i="34"/>
  <c r="AA569" i="34"/>
  <c r="R264" i="34"/>
  <c r="V264" i="34"/>
  <c r="Q264" i="34"/>
  <c r="AA264" i="34"/>
  <c r="X264" i="34"/>
  <c r="P264" i="34"/>
  <c r="AA249" i="34"/>
  <c r="P249" i="34"/>
  <c r="X249" i="34"/>
  <c r="Q249" i="34"/>
  <c r="R249" i="34"/>
  <c r="V249" i="34"/>
  <c r="AA241" i="34"/>
  <c r="P241" i="34"/>
  <c r="X241" i="34"/>
  <c r="Q241" i="34"/>
  <c r="R241" i="34"/>
  <c r="V241" i="34"/>
  <c r="Q204" i="34"/>
  <c r="R204" i="34"/>
  <c r="V204" i="34"/>
  <c r="AA204" i="34"/>
  <c r="P204" i="34"/>
  <c r="X204" i="34"/>
  <c r="Q246" i="34"/>
  <c r="R246" i="34"/>
  <c r="V246" i="34"/>
  <c r="AA246" i="34"/>
  <c r="P246" i="34"/>
  <c r="X246" i="34"/>
  <c r="R544" i="34"/>
  <c r="V544" i="34"/>
  <c r="AA544" i="34"/>
  <c r="P544" i="34"/>
  <c r="X544" i="34"/>
  <c r="Q544" i="34"/>
  <c r="P605" i="34"/>
  <c r="X605" i="34"/>
  <c r="Q605" i="34"/>
  <c r="R605" i="34"/>
  <c r="V605" i="34"/>
  <c r="AA605" i="34"/>
  <c r="R562" i="34"/>
  <c r="V562" i="34"/>
  <c r="AA562" i="34"/>
  <c r="P562" i="34"/>
  <c r="X562" i="34"/>
  <c r="Q562" i="34"/>
  <c r="R556" i="34"/>
  <c r="V556" i="34"/>
  <c r="AA556" i="34"/>
  <c r="P556" i="34"/>
  <c r="X556" i="34"/>
  <c r="Q556" i="34"/>
  <c r="AA753" i="34"/>
  <c r="P753" i="34"/>
  <c r="X753" i="34"/>
  <c r="Q753" i="34"/>
  <c r="R753" i="34"/>
  <c r="V753" i="34"/>
  <c r="R702" i="34"/>
  <c r="V702" i="34"/>
  <c r="AA702" i="34"/>
  <c r="P702" i="34"/>
  <c r="X702" i="34"/>
  <c r="Q702" i="34"/>
  <c r="R698" i="34"/>
  <c r="V698" i="34"/>
  <c r="AA698" i="34"/>
  <c r="P698" i="34"/>
  <c r="X698" i="34"/>
  <c r="Q698" i="34"/>
  <c r="AA747" i="34"/>
  <c r="P747" i="34"/>
  <c r="X747" i="34"/>
  <c r="Q747" i="34"/>
  <c r="R747" i="34"/>
  <c r="V747" i="34"/>
  <c r="AA743" i="34"/>
  <c r="P743" i="34"/>
  <c r="X743" i="34"/>
  <c r="Q743" i="34"/>
  <c r="R743" i="34"/>
  <c r="V743" i="34"/>
  <c r="AA739" i="34"/>
  <c r="P739" i="34"/>
  <c r="X739" i="34"/>
  <c r="Q739" i="34"/>
  <c r="R739" i="34"/>
  <c r="V739" i="34"/>
  <c r="Q728" i="34"/>
  <c r="R728" i="34"/>
  <c r="V728" i="34"/>
  <c r="AA728" i="34"/>
  <c r="P728" i="34"/>
  <c r="X728" i="34"/>
  <c r="Q724" i="34"/>
  <c r="R724" i="34"/>
  <c r="V724" i="34"/>
  <c r="AA724" i="34"/>
  <c r="P724" i="34"/>
  <c r="X724" i="34"/>
  <c r="Q720" i="34"/>
  <c r="R720" i="34"/>
  <c r="V720" i="34"/>
  <c r="AA720" i="34"/>
  <c r="P720" i="34"/>
  <c r="X720" i="34"/>
  <c r="AA711" i="34"/>
  <c r="P711" i="34"/>
  <c r="X711" i="34"/>
  <c r="Q711" i="34"/>
  <c r="R711" i="34"/>
  <c r="V711" i="34"/>
  <c r="AA707" i="34"/>
  <c r="P707" i="34"/>
  <c r="X707" i="34"/>
  <c r="Q707" i="34"/>
  <c r="R707" i="34"/>
  <c r="V707" i="34"/>
  <c r="R682" i="34"/>
  <c r="V682" i="34"/>
  <c r="AA682" i="34"/>
  <c r="P682" i="34"/>
  <c r="X682" i="34"/>
  <c r="Q682" i="34"/>
  <c r="R678" i="34"/>
  <c r="V678" i="34"/>
  <c r="AA678" i="34"/>
  <c r="P678" i="34"/>
  <c r="X678" i="34"/>
  <c r="Q678" i="34"/>
  <c r="R626" i="34"/>
  <c r="V626" i="34"/>
  <c r="AA626" i="34"/>
  <c r="P626" i="34"/>
  <c r="X626" i="34"/>
  <c r="Q626" i="34"/>
  <c r="R610" i="34"/>
  <c r="V610" i="34"/>
  <c r="AA610" i="34"/>
  <c r="P610" i="34"/>
  <c r="X610" i="34"/>
  <c r="Q610" i="34"/>
  <c r="R606" i="34"/>
  <c r="V606" i="34"/>
  <c r="AA606" i="34"/>
  <c r="P606" i="34"/>
  <c r="X606" i="34"/>
  <c r="Q606" i="34"/>
  <c r="R694" i="34"/>
  <c r="V694" i="34"/>
  <c r="AA694" i="34"/>
  <c r="P694" i="34"/>
  <c r="X694" i="34"/>
  <c r="Q694" i="34"/>
  <c r="R650" i="34"/>
  <c r="V650" i="34"/>
  <c r="AA650" i="34"/>
  <c r="P650" i="34"/>
  <c r="X650" i="34"/>
  <c r="Q650" i="34"/>
  <c r="P631" i="34"/>
  <c r="X631" i="34"/>
  <c r="Q631" i="34"/>
  <c r="R631" i="34"/>
  <c r="V631" i="34"/>
  <c r="AA631" i="34"/>
  <c r="P627" i="34"/>
  <c r="X627" i="34"/>
  <c r="Q627" i="34"/>
  <c r="R627" i="34"/>
  <c r="V627" i="34"/>
  <c r="AA627" i="34"/>
  <c r="R602" i="34"/>
  <c r="V602" i="34"/>
  <c r="AA602" i="34"/>
  <c r="P602" i="34"/>
  <c r="X602" i="34"/>
  <c r="Q602" i="34"/>
  <c r="R598" i="34"/>
  <c r="V598" i="34"/>
  <c r="AA598" i="34"/>
  <c r="P598" i="34"/>
  <c r="X598" i="34"/>
  <c r="Q598" i="34"/>
  <c r="P591" i="34"/>
  <c r="X591" i="34"/>
  <c r="Q591" i="34"/>
  <c r="R591" i="34"/>
  <c r="V591" i="34"/>
  <c r="AA591" i="34"/>
  <c r="R586" i="34"/>
  <c r="V586" i="34"/>
  <c r="AA586" i="34"/>
  <c r="P586" i="34"/>
  <c r="X586" i="34"/>
  <c r="Q586" i="34"/>
  <c r="R572" i="34"/>
  <c r="V572" i="34"/>
  <c r="AA572" i="34"/>
  <c r="P572" i="34"/>
  <c r="X572" i="34"/>
  <c r="Q572" i="34"/>
  <c r="P557" i="34"/>
  <c r="X557" i="34"/>
  <c r="Q557" i="34"/>
  <c r="R557" i="34"/>
  <c r="V557" i="34"/>
  <c r="AA557" i="34"/>
  <c r="P263" i="34"/>
  <c r="X263" i="34"/>
  <c r="R263" i="34"/>
  <c r="V263" i="34"/>
  <c r="AA263" i="34"/>
  <c r="Q263" i="34"/>
  <c r="Q248" i="34"/>
  <c r="R248" i="34"/>
  <c r="V248" i="34"/>
  <c r="AA248" i="34"/>
  <c r="P248" i="34"/>
  <c r="X248" i="34"/>
  <c r="Q240" i="34"/>
  <c r="R240" i="34"/>
  <c r="V240" i="34"/>
  <c r="AA240" i="34"/>
  <c r="P240" i="34"/>
  <c r="X240" i="34"/>
  <c r="AA217" i="34"/>
  <c r="P217" i="34"/>
  <c r="X217" i="34"/>
  <c r="Q217" i="34"/>
  <c r="R217" i="34"/>
  <c r="V217" i="34"/>
  <c r="AA247" i="34"/>
  <c r="P247" i="34"/>
  <c r="X247" i="34"/>
  <c r="Q247" i="34"/>
  <c r="R247" i="34"/>
  <c r="V247" i="34"/>
  <c r="R594" i="34"/>
  <c r="V594" i="34"/>
  <c r="AA594" i="34"/>
  <c r="P594" i="34"/>
  <c r="X594" i="34"/>
  <c r="Q594" i="34"/>
  <c r="AA1209" i="34"/>
  <c r="P1209" i="34"/>
  <c r="X1209" i="34"/>
  <c r="Q1209" i="34"/>
  <c r="R1209" i="34"/>
  <c r="V1209" i="34"/>
  <c r="P563" i="34"/>
  <c r="X563" i="34"/>
  <c r="Q563" i="34"/>
  <c r="R563" i="34"/>
  <c r="V563" i="34"/>
  <c r="AA563" i="34"/>
  <c r="P567" i="34"/>
  <c r="X567" i="34"/>
  <c r="Q567" i="34"/>
  <c r="R567" i="34"/>
  <c r="V567" i="34"/>
  <c r="AA567" i="34"/>
  <c r="Q752" i="34"/>
  <c r="R752" i="34"/>
  <c r="V752" i="34"/>
  <c r="AA752" i="34"/>
  <c r="P752" i="34"/>
  <c r="X752" i="34"/>
  <c r="P701" i="34"/>
  <c r="X701" i="34"/>
  <c r="Q701" i="34"/>
  <c r="R701" i="34"/>
  <c r="V701" i="34"/>
  <c r="AA701" i="34"/>
  <c r="Q750" i="34"/>
  <c r="R750" i="34"/>
  <c r="V750" i="34"/>
  <c r="AA750" i="34"/>
  <c r="P750" i="34"/>
  <c r="X750" i="34"/>
  <c r="Q746" i="34"/>
  <c r="R746" i="34"/>
  <c r="V746" i="34"/>
  <c r="AA746" i="34"/>
  <c r="P746" i="34"/>
  <c r="X746" i="34"/>
  <c r="Q742" i="34"/>
  <c r="R742" i="34"/>
  <c r="V742" i="34"/>
  <c r="AA742" i="34"/>
  <c r="P742" i="34"/>
  <c r="X742" i="34"/>
  <c r="Q738" i="34"/>
  <c r="R738" i="34"/>
  <c r="V738" i="34"/>
  <c r="AA738" i="34"/>
  <c r="P738" i="34"/>
  <c r="X738" i="34"/>
  <c r="AA727" i="34"/>
  <c r="P727" i="34"/>
  <c r="X727" i="34"/>
  <c r="Q727" i="34"/>
  <c r="R727" i="34"/>
  <c r="V727" i="34"/>
  <c r="AA723" i="34"/>
  <c r="P723" i="34"/>
  <c r="X723" i="34"/>
  <c r="Q723" i="34"/>
  <c r="R723" i="34"/>
  <c r="V723" i="34"/>
  <c r="Q714" i="34"/>
  <c r="R714" i="34"/>
  <c r="V714" i="34"/>
  <c r="AA714" i="34"/>
  <c r="P714" i="34"/>
  <c r="X714" i="34"/>
  <c r="Q710" i="34"/>
  <c r="R710" i="34"/>
  <c r="V710" i="34"/>
  <c r="AA710" i="34"/>
  <c r="P710" i="34"/>
  <c r="X710" i="34"/>
  <c r="Q706" i="34"/>
  <c r="R706" i="34"/>
  <c r="V706" i="34"/>
  <c r="AA706" i="34"/>
  <c r="P706" i="34"/>
  <c r="X706" i="34"/>
  <c r="P681" i="34"/>
  <c r="X681" i="34"/>
  <c r="Q681" i="34"/>
  <c r="R681" i="34"/>
  <c r="V681" i="34"/>
  <c r="AA681" i="34"/>
  <c r="P677" i="34"/>
  <c r="X677" i="34"/>
  <c r="Q677" i="34"/>
  <c r="R677" i="34"/>
  <c r="V677" i="34"/>
  <c r="AA677" i="34"/>
  <c r="P625" i="34"/>
  <c r="X625" i="34"/>
  <c r="Q625" i="34"/>
  <c r="R625" i="34"/>
  <c r="V625" i="34"/>
  <c r="AA625" i="34"/>
  <c r="P609" i="34"/>
  <c r="X609" i="34"/>
  <c r="Q609" i="34"/>
  <c r="R609" i="34"/>
  <c r="V609" i="34"/>
  <c r="AA609" i="34"/>
  <c r="P697" i="34"/>
  <c r="X697" i="34"/>
  <c r="Q697" i="34"/>
  <c r="R697" i="34"/>
  <c r="V697" i="34"/>
  <c r="AA697" i="34"/>
  <c r="P653" i="34"/>
  <c r="X653" i="34"/>
  <c r="Q653" i="34"/>
  <c r="R653" i="34"/>
  <c r="V653" i="34"/>
  <c r="AA653" i="34"/>
  <c r="P649" i="34"/>
  <c r="X649" i="34"/>
  <c r="Q649" i="34"/>
  <c r="R649" i="34"/>
  <c r="V649" i="34"/>
  <c r="AA649" i="34"/>
  <c r="R630" i="34"/>
  <c r="V630" i="34"/>
  <c r="AA630" i="34"/>
  <c r="P630" i="34"/>
  <c r="X630" i="34"/>
  <c r="Q630" i="34"/>
  <c r="R618" i="34"/>
  <c r="V618" i="34"/>
  <c r="AA618" i="34"/>
  <c r="P618" i="34"/>
  <c r="X618" i="34"/>
  <c r="Q618" i="34"/>
  <c r="P601" i="34"/>
  <c r="X601" i="34"/>
  <c r="Q601" i="34"/>
  <c r="R601" i="34"/>
  <c r="V601" i="34"/>
  <c r="AA601" i="34"/>
  <c r="P597" i="34"/>
  <c r="X597" i="34"/>
  <c r="Q597" i="34"/>
  <c r="R597" i="34"/>
  <c r="V597" i="34"/>
  <c r="AA597" i="34"/>
  <c r="R590" i="34"/>
  <c r="V590" i="34"/>
  <c r="AA590" i="34"/>
  <c r="P590" i="34"/>
  <c r="X590" i="34"/>
  <c r="Q590" i="34"/>
  <c r="R576" i="34"/>
  <c r="V576" i="34"/>
  <c r="AA576" i="34"/>
  <c r="P576" i="34"/>
  <c r="X576" i="34"/>
  <c r="Q576" i="34"/>
  <c r="P571" i="34"/>
  <c r="X571" i="34"/>
  <c r="Q571" i="34"/>
  <c r="R571" i="34"/>
  <c r="V571" i="34"/>
  <c r="AA571" i="34"/>
  <c r="Q922" i="34"/>
  <c r="R922" i="34"/>
  <c r="V922" i="34"/>
  <c r="AA922" i="34"/>
  <c r="P922" i="34"/>
  <c r="X922" i="34"/>
  <c r="AA251" i="34"/>
  <c r="P251" i="34"/>
  <c r="X251" i="34"/>
  <c r="Q251" i="34"/>
  <c r="R251" i="34"/>
  <c r="V251" i="34"/>
  <c r="Q244" i="34"/>
  <c r="R244" i="34"/>
  <c r="V244" i="34"/>
  <c r="AA244" i="34"/>
  <c r="P244" i="34"/>
  <c r="X244" i="34"/>
  <c r="AA239" i="34"/>
  <c r="P239" i="34"/>
  <c r="X239" i="34"/>
  <c r="Q239" i="34"/>
  <c r="R239" i="34"/>
  <c r="V239" i="34"/>
  <c r="Q242" i="34"/>
  <c r="R242" i="34"/>
  <c r="V242" i="34"/>
  <c r="AA242" i="34"/>
  <c r="P242" i="34"/>
  <c r="X242" i="34"/>
  <c r="R632" i="34"/>
  <c r="V632" i="34"/>
  <c r="AA632" i="34"/>
  <c r="P632" i="34"/>
  <c r="X632" i="34"/>
  <c r="Q632" i="34"/>
  <c r="P595" i="34"/>
  <c r="X595" i="34"/>
  <c r="Q595" i="34"/>
  <c r="R595" i="34"/>
  <c r="V595" i="34"/>
  <c r="AA595" i="34"/>
  <c r="R560" i="34"/>
  <c r="V560" i="34"/>
  <c r="AA560" i="34"/>
  <c r="P560" i="34"/>
  <c r="X560" i="34"/>
  <c r="Q560" i="34"/>
  <c r="R564" i="34"/>
  <c r="V564" i="34"/>
  <c r="AA564" i="34"/>
  <c r="P564" i="34"/>
  <c r="X564" i="34"/>
  <c r="Q564" i="34"/>
  <c r="R568" i="34"/>
  <c r="V568" i="34"/>
  <c r="AA568" i="34"/>
  <c r="P568" i="34"/>
  <c r="X568" i="34"/>
  <c r="Q568" i="34"/>
  <c r="A753" i="34"/>
  <c r="A702" i="34"/>
  <c r="A698" i="34"/>
  <c r="A747" i="34"/>
  <c r="A743" i="34"/>
  <c r="A739" i="34"/>
  <c r="A728" i="34"/>
  <c r="A724" i="34"/>
  <c r="A720" i="34"/>
  <c r="A711" i="34"/>
  <c r="A707" i="34"/>
  <c r="A682" i="34"/>
  <c r="A678" i="34"/>
  <c r="A626" i="34"/>
  <c r="A610" i="34"/>
  <c r="A606" i="34"/>
  <c r="A694" i="34"/>
  <c r="A650" i="34"/>
  <c r="A631" i="34"/>
  <c r="A627" i="34"/>
  <c r="A602" i="34"/>
  <c r="A598" i="34"/>
  <c r="A591" i="34"/>
  <c r="A586" i="34"/>
  <c r="A572" i="34"/>
  <c r="A569" i="34"/>
  <c r="A264" i="34"/>
  <c r="A249" i="34"/>
  <c r="A241" i="34"/>
  <c r="A204" i="34"/>
  <c r="A246" i="34"/>
  <c r="A544" i="34"/>
  <c r="A605" i="34"/>
  <c r="A562" i="34"/>
  <c r="A556" i="34"/>
  <c r="A752" i="34"/>
  <c r="A701" i="34"/>
  <c r="A750" i="34"/>
  <c r="A746" i="34"/>
  <c r="A742" i="34"/>
  <c r="A738" i="34"/>
  <c r="A727" i="34"/>
  <c r="A723" i="34"/>
  <c r="A714" i="34"/>
  <c r="A710" i="34"/>
  <c r="A706" i="34"/>
  <c r="A681" i="34"/>
  <c r="A677" i="34"/>
  <c r="A625" i="34"/>
  <c r="A609" i="34"/>
  <c r="A697" i="34"/>
  <c r="A653" i="34"/>
  <c r="A649" i="34"/>
  <c r="A630" i="34"/>
  <c r="A618" i="34"/>
  <c r="A601" i="34"/>
  <c r="A597" i="34"/>
  <c r="A590" i="34"/>
  <c r="A576" i="34"/>
  <c r="A571" i="34"/>
  <c r="A557" i="34"/>
  <c r="A263" i="34"/>
  <c r="A248" i="34"/>
  <c r="A240" i="34"/>
  <c r="A217" i="34"/>
  <c r="A247" i="34"/>
  <c r="A594" i="34"/>
  <c r="A1209" i="34"/>
  <c r="A563" i="34"/>
  <c r="A567" i="34"/>
  <c r="A751" i="34"/>
  <c r="A700" i="34"/>
  <c r="A749" i="34"/>
  <c r="A745" i="34"/>
  <c r="A741" i="34"/>
  <c r="A737" i="34"/>
  <c r="A726" i="34"/>
  <c r="A722" i="34"/>
  <c r="A713" i="34"/>
  <c r="A709" i="34"/>
  <c r="A705" i="34"/>
  <c r="A680" i="34"/>
  <c r="A676" i="34"/>
  <c r="A624" i="34"/>
  <c r="A608" i="34"/>
  <c r="A696" i="34"/>
  <c r="A652" i="34"/>
  <c r="A648" i="34"/>
  <c r="A620" i="34"/>
  <c r="A617" i="34"/>
  <c r="A600" i="34"/>
  <c r="A593" i="34"/>
  <c r="A589" i="34"/>
  <c r="A575" i="34"/>
  <c r="A570" i="34"/>
  <c r="A922" i="34"/>
  <c r="A251" i="34"/>
  <c r="A244" i="34"/>
  <c r="A239" i="34"/>
  <c r="A242" i="34"/>
  <c r="A632" i="34"/>
  <c r="A595" i="34"/>
  <c r="A560" i="34"/>
  <c r="A564" i="34"/>
  <c r="A703" i="34"/>
  <c r="A699" i="34"/>
  <c r="A748" i="34"/>
  <c r="A744" i="34"/>
  <c r="A740" i="34"/>
  <c r="A729" i="34"/>
  <c r="A725" i="34"/>
  <c r="A721" i="34"/>
  <c r="A712" i="34"/>
  <c r="A708" i="34"/>
  <c r="A683" i="34"/>
  <c r="A679" i="34"/>
  <c r="A675" i="34"/>
  <c r="A623" i="34"/>
  <c r="A607" i="34"/>
  <c r="A695" i="34"/>
  <c r="A651" i="34"/>
  <c r="A647" i="34"/>
  <c r="A628" i="34"/>
  <c r="A603" i="34"/>
  <c r="A599" i="34"/>
  <c r="A592" i="34"/>
  <c r="A587" i="34"/>
  <c r="A574" i="34"/>
  <c r="A1210" i="34"/>
  <c r="A250" i="34"/>
  <c r="A243" i="34"/>
  <c r="A218" i="34"/>
  <c r="A245" i="34"/>
  <c r="A633" i="34"/>
  <c r="A604" i="34"/>
  <c r="A561" i="34"/>
  <c r="A565" i="34"/>
  <c r="A56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72" i="34" l="1"/>
  <c r="B173" i="34"/>
  <c r="B174" i="34"/>
  <c r="B175" i="34"/>
  <c r="B176" i="34"/>
  <c r="B177" i="34"/>
  <c r="B164" i="34"/>
  <c r="B165" i="34"/>
  <c r="B203" i="34"/>
  <c r="Q165" i="34" l="1"/>
  <c r="R165" i="34"/>
  <c r="V165" i="34"/>
  <c r="AA165" i="34"/>
  <c r="P165" i="34"/>
  <c r="X165" i="34"/>
  <c r="Q175" i="34"/>
  <c r="R175" i="34"/>
  <c r="V175" i="34"/>
  <c r="P175" i="34"/>
  <c r="X175" i="34"/>
  <c r="AA175" i="34"/>
  <c r="AA174" i="34"/>
  <c r="P174" i="34"/>
  <c r="X174" i="34"/>
  <c r="R174" i="34"/>
  <c r="V174" i="34"/>
  <c r="Q174" i="34"/>
  <c r="AA164" i="34"/>
  <c r="P164" i="34"/>
  <c r="X164" i="34"/>
  <c r="Q164" i="34"/>
  <c r="R164" i="34"/>
  <c r="V164" i="34"/>
  <c r="Q177" i="34"/>
  <c r="R177" i="34"/>
  <c r="P177" i="34"/>
  <c r="X177" i="34"/>
  <c r="V177" i="34"/>
  <c r="AA177" i="34"/>
  <c r="Q173" i="34"/>
  <c r="R173" i="34"/>
  <c r="V173" i="34"/>
  <c r="P173" i="34"/>
  <c r="X173" i="34"/>
  <c r="AA173" i="34"/>
  <c r="AA203" i="34"/>
  <c r="P203" i="34"/>
  <c r="X203" i="34"/>
  <c r="Q203" i="34"/>
  <c r="R203" i="34"/>
  <c r="V203" i="34"/>
  <c r="AA176" i="34"/>
  <c r="P176" i="34"/>
  <c r="X176" i="34"/>
  <c r="R176" i="34"/>
  <c r="V176" i="34"/>
  <c r="Q176" i="34"/>
  <c r="AA172" i="34"/>
  <c r="P172" i="34"/>
  <c r="X172" i="34"/>
  <c r="Q172" i="34"/>
  <c r="R172" i="34"/>
  <c r="V172" i="34"/>
  <c r="A203" i="34"/>
  <c r="A164" i="34"/>
  <c r="A174" i="34"/>
  <c r="A175" i="34"/>
  <c r="A177" i="34"/>
  <c r="A173" i="34"/>
  <c r="A165" i="34"/>
  <c r="A176" i="34"/>
  <c r="A172" i="34"/>
  <c r="B131" i="34"/>
  <c r="B132" i="34"/>
  <c r="B133" i="34"/>
  <c r="B134" i="34"/>
  <c r="B135" i="34"/>
  <c r="B168" i="34"/>
  <c r="B169" i="34"/>
  <c r="B170" i="34"/>
  <c r="B171" i="34"/>
  <c r="B121" i="34"/>
  <c r="B122" i="34"/>
  <c r="B123" i="34"/>
  <c r="B124" i="34"/>
  <c r="B125" i="34"/>
  <c r="B127" i="34"/>
  <c r="B128" i="34"/>
  <c r="B129" i="34"/>
  <c r="B130" i="34"/>
  <c r="B120" i="34"/>
  <c r="B81" i="34"/>
  <c r="B119" i="34"/>
  <c r="B140" i="34"/>
  <c r="B139" i="34"/>
  <c r="B262" i="34"/>
  <c r="B261" i="34"/>
  <c r="B260" i="34"/>
  <c r="B259" i="34"/>
  <c r="B258" i="34"/>
  <c r="B228" i="34"/>
  <c r="B215" i="34"/>
  <c r="B214" i="34"/>
  <c r="B191" i="34"/>
  <c r="B80" i="34"/>
  <c r="B74" i="34"/>
  <c r="B75" i="34"/>
  <c r="B65" i="34"/>
  <c r="B66" i="34"/>
  <c r="B67" i="34"/>
  <c r="B68" i="34"/>
  <c r="B69" i="34"/>
  <c r="B70" i="34"/>
  <c r="B71" i="34"/>
  <c r="B226" i="34"/>
  <c r="B227" i="34"/>
  <c r="B113" i="34"/>
  <c r="B114" i="34"/>
  <c r="B178" i="34"/>
  <c r="B179" i="34"/>
  <c r="B189" i="34"/>
  <c r="B190" i="34"/>
  <c r="B110" i="34"/>
  <c r="B104" i="34"/>
  <c r="B105" i="34"/>
  <c r="B100" i="34"/>
  <c r="B101" i="34"/>
  <c r="B93" i="34"/>
  <c r="B94" i="34"/>
  <c r="B95" i="34"/>
  <c r="B96" i="34"/>
  <c r="B91" i="34"/>
  <c r="B92" i="34"/>
  <c r="B84" i="34"/>
  <c r="B85" i="34"/>
  <c r="B86" i="34"/>
  <c r="B87" i="34"/>
  <c r="B88" i="34"/>
  <c r="B72" i="34"/>
  <c r="B73" i="34"/>
  <c r="B76" i="34"/>
  <c r="B77" i="34"/>
  <c r="B78" i="34"/>
  <c r="B79" i="34"/>
  <c r="B62" i="34"/>
  <c r="B63" i="34"/>
  <c r="B111" i="34"/>
  <c r="B112" i="34"/>
  <c r="B116" i="34"/>
  <c r="B117" i="34"/>
  <c r="B107" i="34"/>
  <c r="B108" i="34"/>
  <c r="B109" i="34"/>
  <c r="R109" i="34" l="1"/>
  <c r="V109" i="34"/>
  <c r="AA109" i="34"/>
  <c r="P109" i="34"/>
  <c r="X109" i="34"/>
  <c r="Q109" i="34"/>
  <c r="P116" i="34"/>
  <c r="X116" i="34"/>
  <c r="Q116" i="34"/>
  <c r="R116" i="34"/>
  <c r="V116" i="34"/>
  <c r="AA116" i="34"/>
  <c r="AA62" i="34"/>
  <c r="P62" i="34"/>
  <c r="X62" i="34"/>
  <c r="Q62" i="34"/>
  <c r="R62" i="34"/>
  <c r="V62" i="34"/>
  <c r="AA76" i="34"/>
  <c r="P76" i="34"/>
  <c r="X76" i="34"/>
  <c r="Q76" i="34"/>
  <c r="R76" i="34"/>
  <c r="V76" i="34"/>
  <c r="Q87" i="34"/>
  <c r="P87" i="34"/>
  <c r="X87" i="34"/>
  <c r="R87" i="34"/>
  <c r="V87" i="34"/>
  <c r="AA87" i="34"/>
  <c r="R92" i="34"/>
  <c r="V92" i="34"/>
  <c r="X92" i="34"/>
  <c r="P92" i="34"/>
  <c r="Q92" i="34"/>
  <c r="AA92" i="34"/>
  <c r="R94" i="34"/>
  <c r="V94" i="34"/>
  <c r="X94" i="34"/>
  <c r="P94" i="34"/>
  <c r="Q94" i="34"/>
  <c r="AA94" i="34"/>
  <c r="R105" i="34"/>
  <c r="V105" i="34"/>
  <c r="AA105" i="34"/>
  <c r="P105" i="34"/>
  <c r="X105" i="34"/>
  <c r="Q105" i="34"/>
  <c r="AA189" i="34"/>
  <c r="P189" i="34"/>
  <c r="X189" i="34"/>
  <c r="Q189" i="34"/>
  <c r="R189" i="34"/>
  <c r="V189" i="34"/>
  <c r="R113" i="34"/>
  <c r="V113" i="34"/>
  <c r="AA113" i="34"/>
  <c r="P113" i="34"/>
  <c r="X113" i="34"/>
  <c r="Q113" i="34"/>
  <c r="AA70" i="34"/>
  <c r="P70" i="34"/>
  <c r="X70" i="34"/>
  <c r="Q70" i="34"/>
  <c r="R70" i="34"/>
  <c r="V70" i="34"/>
  <c r="AA66" i="34"/>
  <c r="P66" i="34"/>
  <c r="X66" i="34"/>
  <c r="Q66" i="34"/>
  <c r="R66" i="34"/>
  <c r="V66" i="34"/>
  <c r="AA80" i="34"/>
  <c r="P80" i="34"/>
  <c r="X80" i="34"/>
  <c r="Q80" i="34"/>
  <c r="R80" i="34"/>
  <c r="V80" i="34"/>
  <c r="Q228" i="34"/>
  <c r="R228" i="34"/>
  <c r="V228" i="34"/>
  <c r="AA228" i="34"/>
  <c r="P228" i="34"/>
  <c r="X228" i="34"/>
  <c r="AA261" i="34"/>
  <c r="P261" i="34"/>
  <c r="X261" i="34"/>
  <c r="Q261" i="34"/>
  <c r="R261" i="34"/>
  <c r="V261" i="34"/>
  <c r="R119" i="34"/>
  <c r="V119" i="34"/>
  <c r="AA119" i="34"/>
  <c r="P119" i="34"/>
  <c r="X119" i="34"/>
  <c r="Q119" i="34"/>
  <c r="R129" i="34"/>
  <c r="V129" i="34"/>
  <c r="P129" i="34"/>
  <c r="X129" i="34"/>
  <c r="Q129" i="34"/>
  <c r="AA129" i="34"/>
  <c r="P124" i="34"/>
  <c r="X124" i="34"/>
  <c r="Q124" i="34"/>
  <c r="R124" i="34"/>
  <c r="V124" i="34"/>
  <c r="AA124" i="34"/>
  <c r="Q171" i="34"/>
  <c r="R171" i="34"/>
  <c r="V171" i="34"/>
  <c r="AA171" i="34"/>
  <c r="P171" i="34"/>
  <c r="X171" i="34"/>
  <c r="R135" i="34"/>
  <c r="V135" i="34"/>
  <c r="Q135" i="34"/>
  <c r="P135" i="34"/>
  <c r="AA135" i="34"/>
  <c r="X135" i="34"/>
  <c r="R131" i="34"/>
  <c r="V131" i="34"/>
  <c r="P131" i="34"/>
  <c r="X131" i="34"/>
  <c r="Q131" i="34"/>
  <c r="AA131" i="34"/>
  <c r="P108" i="34"/>
  <c r="X108" i="34"/>
  <c r="Q108" i="34"/>
  <c r="R108" i="34"/>
  <c r="V108" i="34"/>
  <c r="AA108" i="34"/>
  <c r="P112" i="34"/>
  <c r="X112" i="34"/>
  <c r="Q112" i="34"/>
  <c r="R112" i="34"/>
  <c r="V112" i="34"/>
  <c r="AA112" i="34"/>
  <c r="Q79" i="34"/>
  <c r="R79" i="34"/>
  <c r="V79" i="34"/>
  <c r="AA79" i="34"/>
  <c r="P79" i="34"/>
  <c r="X79" i="34"/>
  <c r="Q73" i="34"/>
  <c r="R73" i="34"/>
  <c r="V73" i="34"/>
  <c r="AA73" i="34"/>
  <c r="P73" i="34"/>
  <c r="X73" i="34"/>
  <c r="AA86" i="34"/>
  <c r="P86" i="34"/>
  <c r="X86" i="34"/>
  <c r="R86" i="34"/>
  <c r="V86" i="34"/>
  <c r="Q86" i="34"/>
  <c r="P91" i="34"/>
  <c r="X91" i="34"/>
  <c r="Q91" i="34"/>
  <c r="R91" i="34"/>
  <c r="V91" i="34"/>
  <c r="AA91" i="34"/>
  <c r="P93" i="34"/>
  <c r="X93" i="34"/>
  <c r="Q93" i="34"/>
  <c r="R93" i="34"/>
  <c r="V93" i="34"/>
  <c r="AA93" i="34"/>
  <c r="P104" i="34"/>
  <c r="X104" i="34"/>
  <c r="Q104" i="34"/>
  <c r="R104" i="34"/>
  <c r="V104" i="34"/>
  <c r="AA104" i="34"/>
  <c r="P179" i="34"/>
  <c r="X179" i="34"/>
  <c r="Q179" i="34"/>
  <c r="R179" i="34"/>
  <c r="V179" i="34"/>
  <c r="AA179" i="34"/>
  <c r="AA227" i="34"/>
  <c r="P227" i="34"/>
  <c r="X227" i="34"/>
  <c r="Q227" i="34"/>
  <c r="R227" i="34"/>
  <c r="V227" i="34"/>
  <c r="Q69" i="34"/>
  <c r="R69" i="34"/>
  <c r="V69" i="34"/>
  <c r="AA69" i="34"/>
  <c r="P69" i="34"/>
  <c r="X69" i="34"/>
  <c r="Q65" i="34"/>
  <c r="R65" i="34"/>
  <c r="V65" i="34"/>
  <c r="AA65" i="34"/>
  <c r="P65" i="34"/>
  <c r="X65" i="34"/>
  <c r="AA191" i="34"/>
  <c r="P191" i="34"/>
  <c r="X191" i="34"/>
  <c r="Q191" i="34"/>
  <c r="R191" i="34"/>
  <c r="V191" i="34"/>
  <c r="Q258" i="34"/>
  <c r="R258" i="34"/>
  <c r="V258" i="34"/>
  <c r="P258" i="34"/>
  <c r="AA258" i="34"/>
  <c r="X258" i="34"/>
  <c r="Q262" i="34"/>
  <c r="R262" i="34"/>
  <c r="V262" i="34"/>
  <c r="P262" i="34"/>
  <c r="AA262" i="34"/>
  <c r="X262" i="34"/>
  <c r="Q81" i="34"/>
  <c r="R81" i="34"/>
  <c r="V81" i="34"/>
  <c r="AA81" i="34"/>
  <c r="P81" i="34"/>
  <c r="X81" i="34"/>
  <c r="P128" i="34"/>
  <c r="X128" i="34"/>
  <c r="R128" i="34"/>
  <c r="V128" i="34"/>
  <c r="AA128" i="34"/>
  <c r="Q128" i="34"/>
  <c r="R123" i="34"/>
  <c r="V123" i="34"/>
  <c r="AA123" i="34"/>
  <c r="P123" i="34"/>
  <c r="X123" i="34"/>
  <c r="Q123" i="34"/>
  <c r="AA170" i="34"/>
  <c r="P170" i="34"/>
  <c r="X170" i="34"/>
  <c r="Q170" i="34"/>
  <c r="R170" i="34"/>
  <c r="V170" i="34"/>
  <c r="P134" i="34"/>
  <c r="X134" i="34"/>
  <c r="AA134" i="34"/>
  <c r="Q134" i="34"/>
  <c r="R134" i="34"/>
  <c r="V134" i="34"/>
  <c r="R107" i="34"/>
  <c r="V107" i="34"/>
  <c r="AA107" i="34"/>
  <c r="P107" i="34"/>
  <c r="X107" i="34"/>
  <c r="Q107" i="34"/>
  <c r="R111" i="34"/>
  <c r="V111" i="34"/>
  <c r="AA111" i="34"/>
  <c r="P111" i="34"/>
  <c r="X111" i="34"/>
  <c r="Q111" i="34"/>
  <c r="AA78" i="34"/>
  <c r="P78" i="34"/>
  <c r="X78" i="34"/>
  <c r="Q78" i="34"/>
  <c r="R78" i="34"/>
  <c r="V78" i="34"/>
  <c r="AA72" i="34"/>
  <c r="P72" i="34"/>
  <c r="X72" i="34"/>
  <c r="Q72" i="34"/>
  <c r="R72" i="34"/>
  <c r="V72" i="34"/>
  <c r="Q85" i="34"/>
  <c r="R85" i="34"/>
  <c r="V85" i="34"/>
  <c r="P85" i="34"/>
  <c r="X85" i="34"/>
  <c r="AA85" i="34"/>
  <c r="P96" i="34"/>
  <c r="X96" i="34"/>
  <c r="Q96" i="34"/>
  <c r="R96" i="34"/>
  <c r="V96" i="34"/>
  <c r="AA96" i="34"/>
  <c r="R101" i="34"/>
  <c r="V101" i="34"/>
  <c r="AA101" i="34"/>
  <c r="P101" i="34"/>
  <c r="X101" i="34"/>
  <c r="Q101" i="34"/>
  <c r="P110" i="34"/>
  <c r="X110" i="34"/>
  <c r="Q110" i="34"/>
  <c r="R110" i="34"/>
  <c r="V110" i="34"/>
  <c r="AA110" i="34"/>
  <c r="R178" i="34"/>
  <c r="V178" i="34"/>
  <c r="P178" i="34"/>
  <c r="Q178" i="34"/>
  <c r="AA178" i="34"/>
  <c r="X178" i="34"/>
  <c r="Q226" i="34"/>
  <c r="R226" i="34"/>
  <c r="V226" i="34"/>
  <c r="AA226" i="34"/>
  <c r="P226" i="34"/>
  <c r="X226" i="34"/>
  <c r="AA68" i="34"/>
  <c r="P68" i="34"/>
  <c r="X68" i="34"/>
  <c r="Q68" i="34"/>
  <c r="R68" i="34"/>
  <c r="V68" i="34"/>
  <c r="Q75" i="34"/>
  <c r="R75" i="34"/>
  <c r="V75" i="34"/>
  <c r="AA75" i="34"/>
  <c r="P75" i="34"/>
  <c r="X75" i="34"/>
  <c r="Q214" i="34"/>
  <c r="R214" i="34"/>
  <c r="V214" i="34"/>
  <c r="AA214" i="34"/>
  <c r="P214" i="34"/>
  <c r="X214" i="34"/>
  <c r="AA259" i="34"/>
  <c r="P259" i="34"/>
  <c r="X259" i="34"/>
  <c r="Q259" i="34"/>
  <c r="R259" i="34"/>
  <c r="V259" i="34"/>
  <c r="Q139" i="34"/>
  <c r="P139" i="34"/>
  <c r="R139" i="34"/>
  <c r="V139" i="34"/>
  <c r="AA139" i="34"/>
  <c r="X139" i="34"/>
  <c r="P120" i="34"/>
  <c r="X120" i="34"/>
  <c r="Q120" i="34"/>
  <c r="R120" i="34"/>
  <c r="V120" i="34"/>
  <c r="AA120" i="34"/>
  <c r="R127" i="34"/>
  <c r="V127" i="34"/>
  <c r="P127" i="34"/>
  <c r="X127" i="34"/>
  <c r="Q127" i="34"/>
  <c r="AA127" i="34"/>
  <c r="P122" i="34"/>
  <c r="X122" i="34"/>
  <c r="Q122" i="34"/>
  <c r="R122" i="34"/>
  <c r="V122" i="34"/>
  <c r="AA122" i="34"/>
  <c r="Q169" i="34"/>
  <c r="R169" i="34"/>
  <c r="V169" i="34"/>
  <c r="AA169" i="34"/>
  <c r="P169" i="34"/>
  <c r="X169" i="34"/>
  <c r="R133" i="34"/>
  <c r="V133" i="34"/>
  <c r="Q133" i="34"/>
  <c r="X133" i="34"/>
  <c r="P133" i="34"/>
  <c r="AA133" i="34"/>
  <c r="R117" i="34"/>
  <c r="V117" i="34"/>
  <c r="AA117" i="34"/>
  <c r="P117" i="34"/>
  <c r="X117" i="34"/>
  <c r="Q117" i="34"/>
  <c r="Q63" i="34"/>
  <c r="R63" i="34"/>
  <c r="V63" i="34"/>
  <c r="AA63" i="34"/>
  <c r="P63" i="34"/>
  <c r="X63" i="34"/>
  <c r="Q77" i="34"/>
  <c r="R77" i="34"/>
  <c r="V77" i="34"/>
  <c r="AA77" i="34"/>
  <c r="P77" i="34"/>
  <c r="X77" i="34"/>
  <c r="AA88" i="34"/>
  <c r="R88" i="34"/>
  <c r="V88" i="34"/>
  <c r="P88" i="34"/>
  <c r="Q88" i="34"/>
  <c r="X88" i="34"/>
  <c r="AA84" i="34"/>
  <c r="P84" i="34"/>
  <c r="X84" i="34"/>
  <c r="Q84" i="34"/>
  <c r="R84" i="34"/>
  <c r="V84" i="34"/>
  <c r="R95" i="34"/>
  <c r="V95" i="34"/>
  <c r="AA95" i="34"/>
  <c r="P95" i="34"/>
  <c r="X95" i="34"/>
  <c r="Q95" i="34"/>
  <c r="P100" i="34"/>
  <c r="X100" i="34"/>
  <c r="Q100" i="34"/>
  <c r="R100" i="34"/>
  <c r="V100" i="34"/>
  <c r="AA100" i="34"/>
  <c r="Q190" i="34"/>
  <c r="R190" i="34"/>
  <c r="V190" i="34"/>
  <c r="AA190" i="34"/>
  <c r="P190" i="34"/>
  <c r="X190" i="34"/>
  <c r="P114" i="34"/>
  <c r="X114" i="34"/>
  <c r="Q114" i="34"/>
  <c r="R114" i="34"/>
  <c r="V114" i="34"/>
  <c r="AA114" i="34"/>
  <c r="Q71" i="34"/>
  <c r="R71" i="34"/>
  <c r="V71" i="34"/>
  <c r="AA71" i="34"/>
  <c r="P71" i="34"/>
  <c r="X71" i="34"/>
  <c r="Q67" i="34"/>
  <c r="R67" i="34"/>
  <c r="V67" i="34"/>
  <c r="AA67" i="34"/>
  <c r="P67" i="34"/>
  <c r="X67" i="34"/>
  <c r="AA74" i="34"/>
  <c r="P74" i="34"/>
  <c r="X74" i="34"/>
  <c r="Q74" i="34"/>
  <c r="R74" i="34"/>
  <c r="V74" i="34"/>
  <c r="AA215" i="34"/>
  <c r="P215" i="34"/>
  <c r="X215" i="34"/>
  <c r="Q215" i="34"/>
  <c r="R215" i="34"/>
  <c r="V215" i="34"/>
  <c r="Q260" i="34"/>
  <c r="R260" i="34"/>
  <c r="V260" i="34"/>
  <c r="X260" i="34"/>
  <c r="P260" i="34"/>
  <c r="AA260" i="34"/>
  <c r="AA140" i="34"/>
  <c r="P140" i="34"/>
  <c r="X140" i="34"/>
  <c r="Q140" i="34"/>
  <c r="R140" i="34"/>
  <c r="V140" i="34"/>
  <c r="P130" i="34"/>
  <c r="X130" i="34"/>
  <c r="R130" i="34"/>
  <c r="V130" i="34"/>
  <c r="AA130" i="34"/>
  <c r="Q130" i="34"/>
  <c r="R125" i="34"/>
  <c r="V125" i="34"/>
  <c r="P125" i="34"/>
  <c r="X125" i="34"/>
  <c r="Q125" i="34"/>
  <c r="AA125" i="34"/>
  <c r="R121" i="34"/>
  <c r="V121" i="34"/>
  <c r="AA121" i="34"/>
  <c r="P121" i="34"/>
  <c r="X121" i="34"/>
  <c r="Q121" i="34"/>
  <c r="AA168" i="34"/>
  <c r="P168" i="34"/>
  <c r="X168" i="34"/>
  <c r="Q168" i="34"/>
  <c r="R168" i="34"/>
  <c r="V168" i="34"/>
  <c r="P132" i="34"/>
  <c r="X132" i="34"/>
  <c r="AA132" i="34"/>
  <c r="Q132" i="34"/>
  <c r="R132" i="34"/>
  <c r="V132" i="34"/>
  <c r="A78" i="34"/>
  <c r="A226" i="34"/>
  <c r="A122" i="34"/>
  <c r="A72" i="34"/>
  <c r="A101" i="34"/>
  <c r="A68" i="34"/>
  <c r="A259" i="34"/>
  <c r="A127" i="34"/>
  <c r="A169" i="34"/>
  <c r="A117" i="34"/>
  <c r="A63" i="34"/>
  <c r="A77" i="34"/>
  <c r="A88" i="34"/>
  <c r="A84" i="34"/>
  <c r="A95" i="34"/>
  <c r="A100" i="34"/>
  <c r="A190" i="34"/>
  <c r="A114" i="34"/>
  <c r="A71" i="34"/>
  <c r="A67" i="34"/>
  <c r="A74" i="34"/>
  <c r="A215" i="34"/>
  <c r="A260" i="34"/>
  <c r="A140" i="34"/>
  <c r="A130" i="34"/>
  <c r="A125" i="34"/>
  <c r="A121" i="34"/>
  <c r="A168" i="34"/>
  <c r="A132" i="34"/>
  <c r="A111" i="34"/>
  <c r="A96" i="34"/>
  <c r="A178" i="34"/>
  <c r="A214" i="34"/>
  <c r="A120" i="34"/>
  <c r="A133" i="34"/>
  <c r="A109" i="34"/>
  <c r="A116" i="34"/>
  <c r="A62" i="34"/>
  <c r="A76" i="34"/>
  <c r="A87" i="34"/>
  <c r="A92" i="34"/>
  <c r="A94" i="34"/>
  <c r="A105" i="34"/>
  <c r="A189" i="34"/>
  <c r="A113" i="34"/>
  <c r="A70" i="34"/>
  <c r="A66" i="34"/>
  <c r="A80" i="34"/>
  <c r="A228" i="34"/>
  <c r="A261" i="34"/>
  <c r="A119" i="34"/>
  <c r="A129" i="34"/>
  <c r="A124" i="34"/>
  <c r="A171" i="34"/>
  <c r="A135" i="34"/>
  <c r="A131" i="34"/>
  <c r="A107" i="34"/>
  <c r="A85" i="34"/>
  <c r="A110" i="34"/>
  <c r="A75" i="34"/>
  <c r="A139" i="34"/>
  <c r="A108" i="34"/>
  <c r="A112" i="34"/>
  <c r="A79" i="34"/>
  <c r="A73" i="34"/>
  <c r="A86" i="34"/>
  <c r="A91" i="34"/>
  <c r="A93" i="34"/>
  <c r="A104" i="34"/>
  <c r="A179" i="34"/>
  <c r="A227" i="34"/>
  <c r="A69" i="34"/>
  <c r="A65" i="34"/>
  <c r="A191" i="34"/>
  <c r="A258" i="34"/>
  <c r="A262" i="34"/>
  <c r="A81" i="34"/>
  <c r="A128" i="34"/>
  <c r="A123" i="34"/>
  <c r="A170" i="34"/>
  <c r="A134" i="34"/>
  <c r="B674" i="34"/>
  <c r="B646" i="34"/>
  <c r="B645" i="34"/>
  <c r="B644" i="34"/>
  <c r="B622" i="34"/>
  <c r="B621" i="34"/>
  <c r="B559" i="34"/>
  <c r="B558" i="34"/>
  <c r="B267" i="34"/>
  <c r="B266" i="34"/>
  <c r="B265" i="34"/>
  <c r="B200" i="34"/>
  <c r="B167" i="34"/>
  <c r="B166" i="34"/>
  <c r="B152" i="34"/>
  <c r="B153" i="34"/>
  <c r="B102" i="34"/>
  <c r="Q167" i="34" l="1"/>
  <c r="R167" i="34"/>
  <c r="V167" i="34"/>
  <c r="AA167" i="34"/>
  <c r="P167" i="34"/>
  <c r="X167" i="34"/>
  <c r="R674" i="34"/>
  <c r="V674" i="34"/>
  <c r="AA674" i="34"/>
  <c r="P674" i="34"/>
  <c r="X674" i="34"/>
  <c r="Q674" i="34"/>
  <c r="AA152" i="34"/>
  <c r="P152" i="34"/>
  <c r="X152" i="34"/>
  <c r="Q152" i="34"/>
  <c r="R152" i="34"/>
  <c r="V152" i="34"/>
  <c r="P645" i="34"/>
  <c r="X645" i="34"/>
  <c r="Q645" i="34"/>
  <c r="R645" i="34"/>
  <c r="V645" i="34"/>
  <c r="AA645" i="34"/>
  <c r="P102" i="34"/>
  <c r="X102" i="34"/>
  <c r="Q102" i="34"/>
  <c r="R102" i="34"/>
  <c r="V102" i="34"/>
  <c r="AA102" i="34"/>
  <c r="P267" i="34"/>
  <c r="X267" i="34"/>
  <c r="R267" i="34"/>
  <c r="V267" i="34"/>
  <c r="AA267" i="34"/>
  <c r="Q267" i="34"/>
  <c r="R622" i="34"/>
  <c r="V622" i="34"/>
  <c r="AA622" i="34"/>
  <c r="P622" i="34"/>
  <c r="X622" i="34"/>
  <c r="Q622" i="34"/>
  <c r="Q153" i="34"/>
  <c r="R153" i="34"/>
  <c r="V153" i="34"/>
  <c r="AA153" i="34"/>
  <c r="P153" i="34"/>
  <c r="X153" i="34"/>
  <c r="Q200" i="34"/>
  <c r="R200" i="34"/>
  <c r="V200" i="34"/>
  <c r="AA200" i="34"/>
  <c r="P200" i="34"/>
  <c r="X200" i="34"/>
  <c r="R558" i="34"/>
  <c r="V558" i="34"/>
  <c r="AA558" i="34"/>
  <c r="P558" i="34"/>
  <c r="X558" i="34"/>
  <c r="Q558" i="34"/>
  <c r="R644" i="34"/>
  <c r="V644" i="34"/>
  <c r="AA644" i="34"/>
  <c r="P644" i="34"/>
  <c r="X644" i="34"/>
  <c r="Q644" i="34"/>
  <c r="P559" i="34"/>
  <c r="X559" i="34"/>
  <c r="Q559" i="34"/>
  <c r="R559" i="34"/>
  <c r="V559" i="34"/>
  <c r="AA559" i="34"/>
  <c r="P265" i="34"/>
  <c r="X265" i="34"/>
  <c r="R265" i="34"/>
  <c r="V265" i="34"/>
  <c r="AA265" i="34"/>
  <c r="Q265" i="34"/>
  <c r="AA166" i="34"/>
  <c r="P166" i="34"/>
  <c r="X166" i="34"/>
  <c r="Q166" i="34"/>
  <c r="R166" i="34"/>
  <c r="V166" i="34"/>
  <c r="R266" i="34"/>
  <c r="V266" i="34"/>
  <c r="Q266" i="34"/>
  <c r="AA266" i="34"/>
  <c r="X266" i="34"/>
  <c r="P266" i="34"/>
  <c r="P621" i="34"/>
  <c r="X621" i="34"/>
  <c r="Q621" i="34"/>
  <c r="R621" i="34"/>
  <c r="V621" i="34"/>
  <c r="AA621" i="34"/>
  <c r="R646" i="34"/>
  <c r="V646" i="34"/>
  <c r="AA646" i="34"/>
  <c r="P646" i="34"/>
  <c r="X646" i="34"/>
  <c r="Q646" i="34"/>
  <c r="A267" i="34"/>
  <c r="A674" i="34"/>
  <c r="A102" i="34"/>
  <c r="A622" i="34"/>
  <c r="A200" i="34"/>
  <c r="A644" i="34"/>
  <c r="A265" i="34"/>
  <c r="A645" i="34"/>
  <c r="A167" i="34"/>
  <c r="A153" i="34"/>
  <c r="A558" i="34"/>
  <c r="A152" i="34"/>
  <c r="A559" i="34"/>
  <c r="A166" i="34"/>
  <c r="A266" i="34"/>
  <c r="A621" i="34"/>
  <c r="A646" i="34"/>
  <c r="A14" i="71"/>
  <c r="E37" i="71" s="1"/>
  <c r="A19" i="71"/>
  <c r="A20" i="71"/>
  <c r="A17" i="71"/>
  <c r="B201" i="34"/>
  <c r="A18" i="71"/>
  <c r="B664" i="34"/>
  <c r="A16" i="71"/>
  <c r="A15" i="71"/>
  <c r="U10" i="34"/>
  <c r="AA201" i="34" l="1"/>
  <c r="P201" i="34"/>
  <c r="X201" i="34"/>
  <c r="Q201" i="34"/>
  <c r="R201" i="34"/>
  <c r="V201" i="34"/>
  <c r="R664" i="34"/>
  <c r="V664" i="34"/>
  <c r="AA664" i="34"/>
  <c r="P664" i="34"/>
  <c r="X664" i="34"/>
  <c r="Q664" i="34"/>
  <c r="A201" i="34"/>
  <c r="A664" i="34"/>
  <c r="A36" i="71"/>
  <c r="H2" i="71"/>
  <c r="S10" i="34"/>
  <c r="E6" i="43" l="1"/>
  <c r="O8" i="43"/>
  <c r="N8" i="43"/>
  <c r="D13" i="15" l="1"/>
  <c r="C13" i="15"/>
  <c r="B115" i="34"/>
  <c r="B238" i="34"/>
  <c r="B257" i="34"/>
  <c r="B545" i="34"/>
  <c r="B555" i="34"/>
  <c r="B573" i="34"/>
  <c r="B619" i="34"/>
  <c r="B629" i="34"/>
  <c r="B643" i="34"/>
  <c r="B663" i="34"/>
  <c r="B704" i="34"/>
  <c r="B82" i="34"/>
  <c r="P663" i="34" l="1"/>
  <c r="X663" i="34"/>
  <c r="Q663" i="34"/>
  <c r="R663" i="34"/>
  <c r="V663" i="34"/>
  <c r="AA663" i="34"/>
  <c r="P573" i="34"/>
  <c r="X573" i="34"/>
  <c r="Q573" i="34"/>
  <c r="R573" i="34"/>
  <c r="V573" i="34"/>
  <c r="AA573" i="34"/>
  <c r="Q238" i="34"/>
  <c r="R238" i="34"/>
  <c r="V238" i="34"/>
  <c r="AA238" i="34"/>
  <c r="P238" i="34"/>
  <c r="X238" i="34"/>
  <c r="P643" i="34"/>
  <c r="X643" i="34"/>
  <c r="Q643" i="34"/>
  <c r="R643" i="34"/>
  <c r="V643" i="34"/>
  <c r="AA643" i="34"/>
  <c r="P555" i="34"/>
  <c r="X555" i="34"/>
  <c r="Q555" i="34"/>
  <c r="R555" i="34"/>
  <c r="V555" i="34"/>
  <c r="AA555" i="34"/>
  <c r="R115" i="34"/>
  <c r="V115" i="34"/>
  <c r="AA115" i="34"/>
  <c r="P115" i="34"/>
  <c r="X115" i="34"/>
  <c r="Q115" i="34"/>
  <c r="AA82" i="34"/>
  <c r="P82" i="34"/>
  <c r="X82" i="34"/>
  <c r="Q82" i="34"/>
  <c r="R82" i="34"/>
  <c r="V82" i="34"/>
  <c r="P629" i="34"/>
  <c r="X629" i="34"/>
  <c r="Q629" i="34"/>
  <c r="R629" i="34"/>
  <c r="V629" i="34"/>
  <c r="AA629" i="34"/>
  <c r="P545" i="34"/>
  <c r="X545" i="34"/>
  <c r="Q545" i="34"/>
  <c r="R545" i="34"/>
  <c r="V545" i="34"/>
  <c r="AA545" i="34"/>
  <c r="R704" i="34"/>
  <c r="P704" i="34"/>
  <c r="Q704" i="34"/>
  <c r="V704" i="34"/>
  <c r="AA704" i="34"/>
  <c r="X704" i="34"/>
  <c r="P619" i="34"/>
  <c r="X619" i="34"/>
  <c r="Q619" i="34"/>
  <c r="R619" i="34"/>
  <c r="V619" i="34"/>
  <c r="AA619" i="34"/>
  <c r="AA257" i="34"/>
  <c r="P257" i="34"/>
  <c r="X257" i="34"/>
  <c r="Q257" i="34"/>
  <c r="R257" i="34"/>
  <c r="V257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63" i="34"/>
  <c r="A573" i="34"/>
  <c r="A238" i="34"/>
  <c r="A643" i="34"/>
  <c r="A555" i="34"/>
  <c r="A115" i="34"/>
  <c r="A82" i="34"/>
  <c r="A629" i="34"/>
  <c r="A545" i="34"/>
  <c r="A704" i="34"/>
  <c r="A619" i="34"/>
  <c r="A257" i="34"/>
  <c r="B118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118" i="34" l="1"/>
  <c r="X118" i="34"/>
  <c r="Q118" i="34"/>
  <c r="R118" i="34"/>
  <c r="V118" i="34"/>
  <c r="AA118" i="34"/>
  <c r="A118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360" i="34"/>
  <c r="B2361" i="34"/>
  <c r="R2361" i="34" l="1"/>
  <c r="V2361" i="34"/>
  <c r="P2361" i="34"/>
  <c r="X2361" i="34"/>
  <c r="Q2361" i="34"/>
  <c r="AA2361" i="34"/>
  <c r="P2360" i="34"/>
  <c r="X2360" i="34"/>
  <c r="R2360" i="34"/>
  <c r="V2360" i="34"/>
  <c r="AA2360" i="34"/>
  <c r="Q2360" i="34"/>
  <c r="H24" i="68"/>
  <c r="G25" i="68" s="1"/>
  <c r="A2360" i="34"/>
  <c r="A2361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K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G27" i="68" l="1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P17" i="34" l="1"/>
  <c r="X17" i="34"/>
  <c r="Q17" i="34"/>
  <c r="R17" i="34"/>
  <c r="V17" i="34"/>
  <c r="AA17" i="34"/>
  <c r="P19" i="34"/>
  <c r="X19" i="34"/>
  <c r="Q19" i="34"/>
  <c r="R19" i="34"/>
  <c r="V19" i="34"/>
  <c r="AA19" i="34"/>
  <c r="R20" i="34"/>
  <c r="V20" i="34"/>
  <c r="AA20" i="34"/>
  <c r="P20" i="34"/>
  <c r="X20" i="34"/>
  <c r="Q20" i="34"/>
  <c r="P21" i="34"/>
  <c r="X21" i="34"/>
  <c r="Q21" i="34"/>
  <c r="R21" i="34"/>
  <c r="V21" i="34"/>
  <c r="AA21" i="34"/>
  <c r="R16" i="34"/>
  <c r="V16" i="34"/>
  <c r="AA16" i="34"/>
  <c r="P16" i="34"/>
  <c r="X16" i="34"/>
  <c r="Q16" i="34"/>
  <c r="R18" i="34"/>
  <c r="V18" i="34"/>
  <c r="AA18" i="34"/>
  <c r="P18" i="34"/>
  <c r="X18" i="34"/>
  <c r="Q18" i="34"/>
  <c r="P13" i="34"/>
  <c r="X13" i="34"/>
  <c r="Q13" i="34"/>
  <c r="R13" i="34"/>
  <c r="V13" i="34"/>
  <c r="AA13" i="34"/>
  <c r="P15" i="34"/>
  <c r="X15" i="34"/>
  <c r="Q15" i="34"/>
  <c r="R15" i="34"/>
  <c r="V15" i="34"/>
  <c r="AA15" i="34"/>
  <c r="A17" i="34"/>
  <c r="A20" i="34"/>
  <c r="A21" i="34"/>
  <c r="A19" i="34"/>
  <c r="A18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5" i="12"/>
  <c r="D26" i="12" s="1"/>
  <c r="C25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6" i="34" l="1"/>
  <c r="W18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17" i="34"/>
  <c r="W19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3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51" i="34"/>
  <c r="W54" i="34"/>
  <c r="W57" i="34"/>
  <c r="W59" i="34"/>
  <c r="W61" i="34"/>
  <c r="W63" i="34"/>
  <c r="W65" i="34"/>
  <c r="W67" i="34"/>
  <c r="W69" i="34"/>
  <c r="W71" i="34"/>
  <c r="W73" i="34"/>
  <c r="W75" i="34"/>
  <c r="W77" i="34"/>
  <c r="W79" i="34"/>
  <c r="W81" i="34"/>
  <c r="W83" i="34"/>
  <c r="W50" i="34"/>
  <c r="W52" i="34"/>
  <c r="W55" i="34"/>
  <c r="W85" i="34"/>
  <c r="W89" i="34"/>
  <c r="W91" i="34"/>
  <c r="W93" i="34"/>
  <c r="W95" i="34"/>
  <c r="W97" i="34"/>
  <c r="W99" i="34"/>
  <c r="W101" i="34"/>
  <c r="W103" i="34"/>
  <c r="W105" i="34"/>
  <c r="W107" i="34"/>
  <c r="W109" i="34"/>
  <c r="W111" i="34"/>
  <c r="W113" i="34"/>
  <c r="W115" i="34"/>
  <c r="W117" i="34"/>
  <c r="W119" i="34"/>
  <c r="W121" i="34"/>
  <c r="W123" i="34"/>
  <c r="W87" i="34"/>
  <c r="W90" i="34"/>
  <c r="W92" i="34"/>
  <c r="W94" i="34"/>
  <c r="W96" i="34"/>
  <c r="W98" i="34"/>
  <c r="W100" i="34"/>
  <c r="W102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25" i="34"/>
  <c r="W135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27" i="34"/>
  <c r="W137" i="34"/>
  <c r="W129" i="34"/>
  <c r="W139" i="34"/>
  <c r="W141" i="34"/>
  <c r="W143" i="34"/>
  <c r="W145" i="34"/>
  <c r="W147" i="34"/>
  <c r="W149" i="34"/>
  <c r="W151" i="34"/>
  <c r="W153" i="34"/>
  <c r="W155" i="34"/>
  <c r="W157" i="34"/>
  <c r="W159" i="34"/>
  <c r="W161" i="34"/>
  <c r="W163" i="34"/>
  <c r="W165" i="34"/>
  <c r="W167" i="34"/>
  <c r="W169" i="34"/>
  <c r="W171" i="34"/>
  <c r="W131" i="34"/>
  <c r="W133" i="34"/>
  <c r="W173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175" i="34"/>
  <c r="W178" i="34"/>
  <c r="W180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177" i="34"/>
  <c r="W179" i="34"/>
  <c r="W181" i="34"/>
  <c r="W183" i="34"/>
  <c r="W185" i="34"/>
  <c r="W187" i="34"/>
  <c r="W262" i="34"/>
  <c r="W264" i="34"/>
  <c r="W266" i="34"/>
  <c r="W269" i="34"/>
  <c r="W271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256" i="34"/>
  <c r="W263" i="34"/>
  <c r="W265" i="34"/>
  <c r="W267" i="34"/>
  <c r="W258" i="34"/>
  <c r="W268" i="34"/>
  <c r="W270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260" i="34"/>
  <c r="W324" i="34"/>
  <c r="W332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441" i="34"/>
  <c r="W443" i="34"/>
  <c r="W445" i="34"/>
  <c r="W447" i="34"/>
  <c r="W326" i="34"/>
  <c r="W334" i="34"/>
  <c r="W336" i="34"/>
  <c r="W338" i="34"/>
  <c r="W340" i="34"/>
  <c r="W342" i="34"/>
  <c r="W328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440" i="34"/>
  <c r="W442" i="34"/>
  <c r="W444" i="34"/>
  <c r="W446" i="34"/>
  <c r="W448" i="34"/>
  <c r="W322" i="34"/>
  <c r="W330" i="34"/>
  <c r="W335" i="34"/>
  <c r="W337" i="34"/>
  <c r="W339" i="34"/>
  <c r="W341" i="34"/>
  <c r="W343" i="34"/>
  <c r="W344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602" i="34"/>
  <c r="W604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776" i="34"/>
  <c r="W778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62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856" i="34"/>
  <c r="W858" i="34"/>
  <c r="W865" i="34"/>
  <c r="W867" i="34"/>
  <c r="W869" i="34"/>
  <c r="W871" i="34"/>
  <c r="W873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860" i="34"/>
  <c r="W864" i="34"/>
  <c r="W866" i="34"/>
  <c r="W868" i="34"/>
  <c r="W870" i="34"/>
  <c r="W872" i="34"/>
  <c r="W874" i="34"/>
  <c r="W1020" i="34"/>
  <c r="W1022" i="34"/>
  <c r="W1024" i="34"/>
  <c r="W1026" i="34"/>
  <c r="W1028" i="34"/>
  <c r="W1030" i="34"/>
  <c r="W1032" i="34"/>
  <c r="W1034" i="34"/>
  <c r="W1036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1119" i="34"/>
  <c r="W1121" i="34"/>
  <c r="W1123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019" i="34"/>
  <c r="W1021" i="34"/>
  <c r="W1023" i="34"/>
  <c r="W1025" i="34"/>
  <c r="W1027" i="34"/>
  <c r="W1029" i="34"/>
  <c r="W1031" i="34"/>
  <c r="W1033" i="34"/>
  <c r="W1035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037" i="34"/>
  <c r="W1247" i="34"/>
  <c r="W1251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4" i="34"/>
  <c r="W1326" i="34"/>
  <c r="W1328" i="34"/>
  <c r="W1330" i="34"/>
  <c r="W1332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248" i="34"/>
  <c r="W1252" i="34"/>
  <c r="W1256" i="34"/>
  <c r="W1257" i="34"/>
  <c r="W1249" i="34"/>
  <c r="W1253" i="34"/>
  <c r="W1255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5" i="34"/>
  <c r="W1327" i="34"/>
  <c r="W1329" i="34"/>
  <c r="W1331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246" i="34"/>
  <c r="W1250" i="34"/>
  <c r="W1254" i="34"/>
  <c r="W1546" i="34"/>
  <c r="W1548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543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8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1842" i="34"/>
  <c r="W1850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44" i="34"/>
  <c r="W1852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1846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2315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17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13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W14" i="34"/>
  <c r="W13" i="34"/>
  <c r="W15" i="34"/>
  <c r="I119" i="55"/>
  <c r="W11" i="34"/>
  <c r="W12" i="34"/>
  <c r="X12" i="34"/>
  <c r="X11" i="34"/>
  <c r="A10" i="56"/>
  <c r="A12" i="56"/>
  <c r="H33" i="56"/>
  <c r="F33" i="56"/>
  <c r="F32" i="56"/>
  <c r="H2" i="55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A30" i="47" l="1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367" i="34"/>
  <c r="J325" i="55" a="1"/>
  <c r="J325" i="55" s="1"/>
  <c r="F59" i="15" a="1"/>
  <c r="F59" i="15" s="1"/>
  <c r="J253" i="55" a="1"/>
  <c r="J253" i="55" s="1"/>
  <c r="J148" i="55" a="1"/>
  <c r="J148" i="55" s="1"/>
  <c r="J270" i="55" a="1"/>
  <c r="J270" i="55" s="1"/>
  <c r="J236" i="55" a="1"/>
  <c r="J236" i="55" s="1"/>
  <c r="J313" i="55" a="1"/>
  <c r="J313" i="55" s="1"/>
  <c r="J267" i="55" a="1"/>
  <c r="J267" i="55" s="1"/>
  <c r="J159" i="55" a="1"/>
  <c r="J159" i="55" s="1"/>
  <c r="J188" i="55" a="1"/>
  <c r="J188" i="55" s="1"/>
  <c r="J144" i="55" a="1"/>
  <c r="J144" i="55" s="1"/>
  <c r="J185" i="55" a="1"/>
  <c r="J185" i="55" s="1"/>
  <c r="J255" i="55" a="1"/>
  <c r="J255" i="55" s="1"/>
  <c r="J261" i="55" a="1"/>
  <c r="J261" i="55" s="1"/>
  <c r="J237" i="55" a="1"/>
  <c r="J237" i="55" s="1"/>
  <c r="J181" i="55" a="1"/>
  <c r="J181" i="55" s="1"/>
  <c r="J153" i="55" a="1"/>
  <c r="J153" i="55" s="1"/>
  <c r="J330" i="55" a="1"/>
  <c r="J330" i="55" s="1"/>
  <c r="J320" i="55" a="1"/>
  <c r="J320" i="55" s="1"/>
  <c r="J225" i="55" a="1"/>
  <c r="J225" i="55" s="1"/>
  <c r="J127" i="55" a="1"/>
  <c r="J127" i="55" s="1"/>
  <c r="J171" i="55" a="1"/>
  <c r="J171" i="55" s="1"/>
  <c r="J163" i="55" a="1"/>
  <c r="J163" i="55" s="1"/>
  <c r="J262" i="55" a="1"/>
  <c r="J262" i="55" s="1"/>
  <c r="J294" i="55" a="1"/>
  <c r="J294" i="55" s="1"/>
  <c r="J304" i="55" a="1"/>
  <c r="J304" i="55" s="1"/>
  <c r="J190" i="55" a="1"/>
  <c r="J190" i="55" s="1"/>
  <c r="J332" i="55" a="1"/>
  <c r="J332" i="55" s="1"/>
  <c r="J324" i="55" a="1"/>
  <c r="J324" i="55" s="1"/>
  <c r="J250" i="55" a="1"/>
  <c r="J250" i="55" s="1"/>
  <c r="J149" i="55" a="1"/>
  <c r="J149" i="55" s="1"/>
  <c r="J135" i="55" a="1"/>
  <c r="J135" i="55" s="1"/>
  <c r="J201" i="55" a="1"/>
  <c r="J201" i="55" s="1"/>
  <c r="J145" i="55" a="1"/>
  <c r="J145" i="55" s="1"/>
  <c r="J195" i="55" a="1"/>
  <c r="J195" i="55" s="1"/>
  <c r="J142" i="55" a="1"/>
  <c r="J142" i="55" s="1"/>
  <c r="J177" i="55" a="1"/>
  <c r="J177" i="55" s="1"/>
  <c r="J124" i="55" a="1"/>
  <c r="J124" i="55" s="1"/>
  <c r="J286" i="55" a="1"/>
  <c r="J286" i="55" s="1"/>
  <c r="J318" i="55" a="1"/>
  <c r="J318" i="55" s="1"/>
  <c r="J290" i="55" a="1"/>
  <c r="J290" i="55" s="1"/>
  <c r="J263" i="55" a="1"/>
  <c r="J263" i="55" s="1"/>
  <c r="J194" i="55" a="1"/>
  <c r="J194" i="55" s="1"/>
  <c r="J258" i="55" a="1"/>
  <c r="J258" i="55" s="1"/>
  <c r="J223" i="55" a="1"/>
  <c r="J223" i="55" s="1"/>
  <c r="J208" i="55" a="1"/>
  <c r="J208" i="55" s="1"/>
  <c r="J282" i="55" a="1"/>
  <c r="J282" i="55" s="1"/>
  <c r="J331" i="55" a="1"/>
  <c r="J331" i="55" s="1"/>
  <c r="J209" i="55" a="1"/>
  <c r="J209" i="55" s="1"/>
  <c r="J126" i="55" a="1"/>
  <c r="J126" i="55" s="1"/>
  <c r="J220" i="55" a="1"/>
  <c r="J220" i="55" s="1"/>
  <c r="J311" i="55" a="1"/>
  <c r="J311" i="55" s="1"/>
  <c r="J231" i="55" a="1"/>
  <c r="J231" i="55" s="1"/>
  <c r="J321" i="55" a="1"/>
  <c r="J321" i="55" s="1"/>
  <c r="J308" i="55" a="1"/>
  <c r="J308" i="55" s="1"/>
  <c r="J272" i="55" a="1"/>
  <c r="J272" i="55" s="1"/>
  <c r="J222" i="55" a="1"/>
  <c r="J222" i="55" s="1"/>
  <c r="J139" i="55" a="1"/>
  <c r="J139" i="55" s="1"/>
  <c r="J281" i="55" a="1"/>
  <c r="J281" i="55" s="1"/>
  <c r="J266" i="55" a="1"/>
  <c r="J266" i="55" s="1"/>
  <c r="J254" i="55" a="1"/>
  <c r="J254" i="55" s="1"/>
  <c r="J152" i="55" a="1"/>
  <c r="J152" i="55" s="1"/>
  <c r="J206" i="55" a="1"/>
  <c r="J206" i="55" s="1"/>
  <c r="F14" i="12" a="1"/>
  <c r="F14" i="12" s="1"/>
  <c r="H335" i="55" a="1"/>
  <c r="H335" i="55" s="1"/>
  <c r="H325" i="55" a="1"/>
  <c r="H325" i="55" s="1"/>
  <c r="H327" i="55" a="1"/>
  <c r="H327" i="55" s="1"/>
  <c r="E56" i="15" a="1"/>
  <c r="E56" i="15" s="1"/>
  <c r="F24" i="70" a="1"/>
  <c r="F24" i="70" s="1"/>
  <c r="H285" i="55" a="1"/>
  <c r="H285" i="55" s="1"/>
  <c r="H131" i="55" a="1"/>
  <c r="H131" i="55" s="1"/>
  <c r="J178" i="55" a="1"/>
  <c r="J178" i="55" s="1"/>
  <c r="E57" i="15" a="1"/>
  <c r="E57" i="15" s="1"/>
  <c r="J133" i="55" a="1"/>
  <c r="J133" i="55" s="1"/>
  <c r="F49" i="15" a="1"/>
  <c r="F49" i="15" s="1"/>
  <c r="F50" i="15" s="1"/>
  <c r="E53" i="15" a="1"/>
  <c r="E53" i="15" s="1"/>
  <c r="H265" i="55" a="1"/>
  <c r="H265" i="55" s="1"/>
  <c r="H298" i="55" a="1"/>
  <c r="H298" i="55" s="1"/>
  <c r="H289" i="55" a="1"/>
  <c r="H289" i="55" s="1"/>
  <c r="H215" i="55" a="1"/>
  <c r="H215" i="55" s="1"/>
  <c r="H210" i="55" a="1"/>
  <c r="H210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L152" i="55" s="1"/>
  <c r="H288" i="55" a="1"/>
  <c r="H288" i="55" s="1"/>
  <c r="H304" i="55" a="1"/>
  <c r="H304" i="55" s="1"/>
  <c r="H223" i="55" a="1"/>
  <c r="H223" i="55" s="1"/>
  <c r="H148" i="55" a="1"/>
  <c r="H148" i="55" s="1"/>
  <c r="L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L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L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L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L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L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L124" i="55" s="1"/>
  <c r="H177" i="55" a="1"/>
  <c r="H177" i="55" s="1"/>
  <c r="H253" i="55" a="1"/>
  <c r="H253" i="55" s="1"/>
  <c r="L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3" i="12" a="1"/>
  <c r="E13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L220" i="55" s="1"/>
  <c r="H126" i="55" a="1"/>
  <c r="H126" i="55" s="1"/>
  <c r="H286" i="55" a="1"/>
  <c r="H286" i="55" s="1"/>
  <c r="H324" i="55" a="1"/>
  <c r="H324" i="55" s="1"/>
  <c r="L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L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L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I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L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3" i="12" a="1"/>
  <c r="F13" i="12" s="1"/>
  <c r="J224" i="55" l="1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16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L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L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3" i="12" a="1"/>
  <c r="E23" i="12" s="1"/>
  <c r="F23" i="12" a="1"/>
  <c r="F23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F22" i="12" a="1"/>
  <c r="F22" i="12" s="1"/>
  <c r="F15" i="12" a="1"/>
  <c r="F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J207" i="55" a="1"/>
  <c r="J207" i="55" s="1"/>
  <c r="L207" i="55" s="1"/>
  <c r="J287" i="55" a="1"/>
  <c r="J287" i="55" s="1"/>
  <c r="L251" i="55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202" i="55"/>
  <c r="L141" i="55"/>
  <c r="J151" i="55" a="1"/>
  <c r="J151" i="55" s="1"/>
  <c r="L151" i="55" s="1"/>
  <c r="L302" i="55"/>
  <c r="J227" i="55" a="1"/>
  <c r="J227" i="55" s="1"/>
  <c r="L227" i="55" s="1"/>
  <c r="L133" i="55"/>
  <c r="L258" i="55"/>
  <c r="L318" i="55"/>
  <c r="L304" i="55"/>
  <c r="L235" i="55"/>
  <c r="L320" i="55"/>
  <c r="L313" i="55"/>
  <c r="L218" i="55"/>
  <c r="L236" i="55"/>
  <c r="L147" i="55"/>
  <c r="L325" i="55"/>
  <c r="L139" i="55"/>
  <c r="L193" i="55"/>
  <c r="L331" i="55"/>
  <c r="L217" i="55"/>
  <c r="L223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26" i="55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329" i="55"/>
  <c r="L297" i="55"/>
  <c r="L203" i="55"/>
  <c r="L339" i="55"/>
  <c r="L123" i="55"/>
  <c r="L263" i="55"/>
  <c r="L126" i="55"/>
  <c r="L189" i="55"/>
  <c r="L173" i="55"/>
  <c r="L310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4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3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342" i="55" l="1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3" i="12"/>
  <c r="H16" i="12"/>
  <c r="G23" i="12"/>
  <c r="L113" i="55"/>
  <c r="L337" i="55"/>
  <c r="H21" i="55"/>
  <c r="H22" i="55" s="1"/>
  <c r="H15" i="12"/>
  <c r="I9" i="81"/>
  <c r="I10" i="81"/>
  <c r="H48" i="70"/>
  <c r="I7" i="81"/>
  <c r="I8" i="81"/>
  <c r="H4" i="81"/>
  <c r="L101" i="55"/>
  <c r="G21" i="12"/>
  <c r="G19" i="12"/>
  <c r="G20" i="12"/>
  <c r="H18" i="12"/>
  <c r="E25" i="12"/>
  <c r="E26" i="12" s="1"/>
  <c r="F25" i="12"/>
  <c r="F26" i="12" s="1"/>
  <c r="H22" i="12"/>
  <c r="H17" i="12"/>
  <c r="H21" i="12"/>
  <c r="G22" i="12"/>
  <c r="G15" i="12"/>
  <c r="H20" i="12"/>
  <c r="G18" i="12"/>
  <c r="G17" i="12"/>
  <c r="H19" i="12"/>
  <c r="G16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50" i="70"/>
  <c r="F51" i="70" s="1"/>
  <c r="H11" i="70"/>
  <c r="E50" i="70"/>
  <c r="E51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J47" i="15"/>
  <c r="G38" i="15"/>
  <c r="L49" i="15" l="1"/>
  <c r="F62" i="15"/>
  <c r="A32" i="55"/>
  <c r="H25" i="12"/>
  <c r="G25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50" i="70"/>
  <c r="H50" i="70"/>
  <c r="A33" i="55" l="1"/>
  <c r="H26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  <c r="L20" i="15" l="1"/>
</calcChain>
</file>

<file path=xl/sharedStrings.xml><?xml version="1.0" encoding="utf-8"?>
<sst xmlns="http://schemas.openxmlformats.org/spreadsheetml/2006/main" count="16289" uniqueCount="1385">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</sst>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411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2410026294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VL/N01</v>
          </cell>
          <cell r="L26" t="str">
            <v>1522</v>
          </cell>
          <cell r="M26" t="str">
            <v>331</v>
          </cell>
        </row>
        <row r="27">
          <cell r="D27" t="str">
            <v>VL/N01</v>
          </cell>
          <cell r="L27" t="str">
            <v>642</v>
          </cell>
          <cell r="M27" t="str">
            <v>331</v>
          </cell>
        </row>
        <row r="28">
          <cell r="D28" t="str">
            <v>VL/N01</v>
          </cell>
          <cell r="L28" t="str">
            <v>1331</v>
          </cell>
          <cell r="M28" t="str">
            <v>331</v>
          </cell>
        </row>
        <row r="29">
          <cell r="D29" t="str">
            <v>C01</v>
          </cell>
          <cell r="L29" t="str">
            <v>331</v>
          </cell>
          <cell r="M29" t="str">
            <v>1111</v>
          </cell>
        </row>
        <row r="30">
          <cell r="D30" t="str">
            <v>NL/N01</v>
          </cell>
          <cell r="L30" t="str">
            <v>1521</v>
          </cell>
          <cell r="M30" t="str">
            <v>331</v>
          </cell>
        </row>
        <row r="31">
          <cell r="D31" t="str">
            <v>NL/N01</v>
          </cell>
          <cell r="L31" t="str">
            <v>1521</v>
          </cell>
          <cell r="M31" t="str">
            <v>331</v>
          </cell>
        </row>
        <row r="32">
          <cell r="D32" t="str">
            <v>NL/N01</v>
          </cell>
          <cell r="L32" t="str">
            <v>1521</v>
          </cell>
          <cell r="M32" t="str">
            <v>331</v>
          </cell>
        </row>
        <row r="33">
          <cell r="D33" t="str">
            <v>NL/N01</v>
          </cell>
          <cell r="L33" t="str">
            <v>1331</v>
          </cell>
          <cell r="M33" t="str">
            <v>331</v>
          </cell>
        </row>
        <row r="34">
          <cell r="D34" t="str">
            <v>NL/N01</v>
          </cell>
          <cell r="L34" t="str">
            <v>331</v>
          </cell>
          <cell r="M34" t="str">
            <v>1111</v>
          </cell>
        </row>
        <row r="35">
          <cell r="D35" t="str">
            <v>TP/X01</v>
          </cell>
          <cell r="L35" t="str">
            <v>131</v>
          </cell>
          <cell r="M35" t="str">
            <v>5112</v>
          </cell>
        </row>
        <row r="36">
          <cell r="D36" t="str">
            <v>TP/X01</v>
          </cell>
          <cell r="L36" t="str">
            <v>131</v>
          </cell>
          <cell r="M36" t="str">
            <v>5112</v>
          </cell>
        </row>
        <row r="37">
          <cell r="D37" t="str">
            <v>TP/X01</v>
          </cell>
          <cell r="L37" t="str">
            <v>131</v>
          </cell>
          <cell r="M37" t="str">
            <v>3331</v>
          </cell>
        </row>
        <row r="38">
          <cell r="D38" t="str">
            <v>C02</v>
          </cell>
          <cell r="L38" t="str">
            <v>1121</v>
          </cell>
          <cell r="M38" t="str">
            <v>1111</v>
          </cell>
        </row>
        <row r="39">
          <cell r="D39" t="str">
            <v>GBN</v>
          </cell>
          <cell r="L39" t="str">
            <v>331</v>
          </cell>
          <cell r="M39" t="str">
            <v>1121</v>
          </cell>
        </row>
        <row r="40">
          <cell r="D40" t="str">
            <v>GBN</v>
          </cell>
          <cell r="L40" t="str">
            <v>642</v>
          </cell>
          <cell r="M40" t="str">
            <v>1121</v>
          </cell>
        </row>
        <row r="41">
          <cell r="D41" t="str">
            <v>GBN</v>
          </cell>
          <cell r="L41" t="str">
            <v>642</v>
          </cell>
          <cell r="M41" t="str">
            <v>1121</v>
          </cell>
        </row>
        <row r="42">
          <cell r="D42" t="str">
            <v>NL/N02</v>
          </cell>
          <cell r="L42" t="str">
            <v>1521</v>
          </cell>
          <cell r="M42" t="str">
            <v>331</v>
          </cell>
        </row>
        <row r="43">
          <cell r="D43" t="str">
            <v>NL/N02</v>
          </cell>
          <cell r="L43" t="str">
            <v>1521</v>
          </cell>
          <cell r="M43" t="str">
            <v>331</v>
          </cell>
        </row>
        <row r="44">
          <cell r="D44" t="str">
            <v>NL/N02</v>
          </cell>
          <cell r="L44" t="str">
            <v>1331</v>
          </cell>
          <cell r="M44" t="str">
            <v>331</v>
          </cell>
        </row>
        <row r="45">
          <cell r="D45" t="str">
            <v>NL/N03</v>
          </cell>
          <cell r="L45" t="str">
            <v>1521</v>
          </cell>
          <cell r="M45" t="str">
            <v>331</v>
          </cell>
        </row>
        <row r="46">
          <cell r="D46" t="str">
            <v>NL/N03</v>
          </cell>
          <cell r="L46" t="str">
            <v>1331</v>
          </cell>
          <cell r="M46" t="str">
            <v>331</v>
          </cell>
        </row>
        <row r="47">
          <cell r="D47" t="str">
            <v>NL/N03</v>
          </cell>
          <cell r="L47" t="str">
            <v>331</v>
          </cell>
          <cell r="M47" t="str">
            <v>1111</v>
          </cell>
        </row>
        <row r="48">
          <cell r="D48" t="str">
            <v>VL/N02</v>
          </cell>
          <cell r="L48" t="str">
            <v>1522</v>
          </cell>
          <cell r="M48" t="str">
            <v>331</v>
          </cell>
        </row>
        <row r="49">
          <cell r="D49" t="str">
            <v>VL/N02</v>
          </cell>
          <cell r="L49" t="str">
            <v>1331</v>
          </cell>
          <cell r="M49" t="str">
            <v>331</v>
          </cell>
        </row>
        <row r="50">
          <cell r="D50" t="str">
            <v>C03</v>
          </cell>
          <cell r="L50" t="str">
            <v>331</v>
          </cell>
          <cell r="M50" t="str">
            <v>1111</v>
          </cell>
        </row>
        <row r="51">
          <cell r="D51" t="str">
            <v>GBC</v>
          </cell>
          <cell r="L51" t="str">
            <v>1121</v>
          </cell>
          <cell r="M51" t="str">
            <v>131</v>
          </cell>
        </row>
        <row r="52">
          <cell r="D52" t="str">
            <v>NL/N04</v>
          </cell>
          <cell r="L52" t="str">
            <v>1521</v>
          </cell>
          <cell r="M52" t="str">
            <v>331</v>
          </cell>
        </row>
        <row r="53">
          <cell r="D53" t="str">
            <v>NL/N04</v>
          </cell>
          <cell r="L53" t="str">
            <v>1521</v>
          </cell>
          <cell r="M53" t="str">
            <v>331</v>
          </cell>
        </row>
        <row r="54">
          <cell r="D54" t="str">
            <v>NL/N04</v>
          </cell>
          <cell r="L54" t="str">
            <v>1521</v>
          </cell>
          <cell r="M54" t="str">
            <v>331</v>
          </cell>
        </row>
        <row r="55">
          <cell r="D55" t="str">
            <v>NL/N04</v>
          </cell>
          <cell r="L55" t="str">
            <v>1521</v>
          </cell>
          <cell r="M55" t="str">
            <v>331</v>
          </cell>
        </row>
        <row r="56">
          <cell r="D56" t="str">
            <v>NL/N04</v>
          </cell>
          <cell r="L56" t="str">
            <v>1521</v>
          </cell>
          <cell r="M56" t="str">
            <v>331</v>
          </cell>
        </row>
        <row r="57">
          <cell r="D57" t="str">
            <v>NL/N04</v>
          </cell>
          <cell r="L57" t="str">
            <v>1331</v>
          </cell>
          <cell r="M57" t="str">
            <v>331</v>
          </cell>
        </row>
        <row r="58">
          <cell r="D58" t="str">
            <v>NL/N04</v>
          </cell>
          <cell r="L58" t="str">
            <v>331</v>
          </cell>
          <cell r="M58" t="str">
            <v>1111</v>
          </cell>
        </row>
        <row r="59">
          <cell r="D59" t="str">
            <v>NL/N05</v>
          </cell>
          <cell r="L59" t="str">
            <v>1521</v>
          </cell>
          <cell r="M59" t="str">
            <v>331</v>
          </cell>
        </row>
        <row r="60">
          <cell r="D60" t="str">
            <v>NL/N05</v>
          </cell>
          <cell r="L60" t="str">
            <v>1521</v>
          </cell>
          <cell r="M60" t="str">
            <v>331</v>
          </cell>
        </row>
        <row r="61">
          <cell r="D61" t="str">
            <v>NL/N05</v>
          </cell>
          <cell r="L61" t="str">
            <v>1521</v>
          </cell>
          <cell r="M61" t="str">
            <v>331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10" activePane="bottomLeft" state="frozen"/>
      <selection activeCell="A6" sqref="A6"/>
      <selection pane="bottomLeft" activeCell="C14" sqref="C14"/>
    </sheetView>
  </sheetViews>
  <sheetFormatPr defaultColWidth="8" defaultRowHeight="12.75"/>
  <cols>
    <col min="1" max="1" width="5.7109375" style="603" customWidth="1"/>
    <col min="2" max="2" width="36.85546875" style="603" customWidth="1"/>
    <col min="3" max="3" width="14.140625" style="162" customWidth="1"/>
    <col min="4" max="4" width="14.7109375" style="162" customWidth="1"/>
    <col min="5" max="6" width="14.7109375" style="603" customWidth="1"/>
    <col min="7" max="8" width="13.85546875" style="603" customWidth="1"/>
    <col min="9" max="9" width="2.42578125" style="603" customWidth="1"/>
    <col min="10" max="10" width="11" style="603" customWidth="1"/>
    <col min="11" max="11" width="2.85546875" style="603" customWidth="1"/>
    <col min="12" max="12" width="11.85546875" style="603" customWidth="1"/>
    <col min="13" max="13" width="9.85546875" style="603" bestFit="1" customWidth="1"/>
    <col min="14" max="16384" width="8" style="603"/>
  </cols>
  <sheetData>
    <row r="1" spans="1:16">
      <c r="A1" s="602"/>
      <c r="B1" s="602"/>
    </row>
    <row r="2" spans="1:16">
      <c r="A2" s="602" t="str">
        <f>TH!A1</f>
        <v>Đơn vị: CÔNG TY TNHH SX TM KIM DUNG PHÁT</v>
      </c>
      <c r="B2" s="602"/>
    </row>
    <row r="3" spans="1:16">
      <c r="A3" s="603" t="str">
        <f>TH!A2</f>
        <v>Địa chỉ: 1A227/1 Ấp 1, Phạm Văn Hai, Bình Chánh, TPHCM</v>
      </c>
      <c r="B3" s="602"/>
    </row>
    <row r="5" spans="1:16" ht="36" customHeight="1">
      <c r="A5" s="604"/>
      <c r="B5" s="604"/>
      <c r="C5" s="605"/>
      <c r="D5" s="606" t="s">
        <v>347</v>
      </c>
      <c r="E5" s="604"/>
      <c r="F5" s="604"/>
      <c r="G5" s="604"/>
      <c r="H5" s="604"/>
    </row>
    <row r="6" spans="1:16" ht="15.75">
      <c r="A6" s="604"/>
      <c r="B6" s="604"/>
      <c r="C6" s="605"/>
      <c r="D6" s="627" t="s">
        <v>417</v>
      </c>
      <c r="E6" s="604"/>
      <c r="F6" s="604"/>
      <c r="G6" s="604"/>
      <c r="H6" s="604"/>
    </row>
    <row r="7" spans="1:16" ht="6.75" customHeight="1"/>
    <row r="8" spans="1:16" ht="21.75" customHeight="1">
      <c r="A8" s="954" t="s">
        <v>413</v>
      </c>
      <c r="B8" s="954" t="s">
        <v>345</v>
      </c>
      <c r="C8" s="950" t="s">
        <v>37</v>
      </c>
      <c r="D8" s="951"/>
      <c r="E8" s="950" t="s">
        <v>38</v>
      </c>
      <c r="F8" s="951"/>
      <c r="G8" s="950" t="s">
        <v>346</v>
      </c>
      <c r="H8" s="951"/>
    </row>
    <row r="9" spans="1:16" ht="21.75" customHeight="1">
      <c r="A9" s="955"/>
      <c r="B9" s="955"/>
      <c r="C9" s="601" t="s">
        <v>42</v>
      </c>
      <c r="D9" s="601" t="s">
        <v>43</v>
      </c>
      <c r="E9" s="601" t="s">
        <v>42</v>
      </c>
      <c r="F9" s="601" t="s">
        <v>43</v>
      </c>
      <c r="G9" s="601" t="s">
        <v>42</v>
      </c>
      <c r="H9" s="601" t="s">
        <v>43</v>
      </c>
      <c r="L9" s="860" t="s">
        <v>1270</v>
      </c>
    </row>
    <row r="10" spans="1:16" s="162" customFormat="1" ht="17.25" customHeight="1">
      <c r="A10" s="607" t="s">
        <v>47</v>
      </c>
      <c r="B10" s="608" t="s">
        <v>48</v>
      </c>
      <c r="C10" s="609">
        <v>1610481369</v>
      </c>
      <c r="D10" s="609"/>
      <c r="E10" s="609">
        <f t="array" ref="E10">SUM(IF(A10=KHN,TH))</f>
        <v>1322560000</v>
      </c>
      <c r="F10" s="609">
        <f t="array" ref="F10">SUM(IF(A10=KHC,TH))</f>
        <v>1558959799</v>
      </c>
      <c r="G10" s="610">
        <f>MAX(C10+E10-D10-F10,0)</f>
        <v>1374081570</v>
      </c>
      <c r="H10" s="610">
        <f>MAX(D10+F10-E10-C10,0)</f>
        <v>0</v>
      </c>
      <c r="J10" s="603"/>
      <c r="K10" s="603"/>
      <c r="L10" s="603"/>
      <c r="M10" s="603"/>
      <c r="N10" s="603"/>
      <c r="O10" s="603"/>
      <c r="P10" s="603"/>
    </row>
    <row r="11" spans="1:16" s="162" customFormat="1" ht="17.25" customHeight="1">
      <c r="A11" s="612" t="s">
        <v>16</v>
      </c>
      <c r="B11" s="612" t="s">
        <v>49</v>
      </c>
      <c r="C11" s="613">
        <f t="shared" ref="C11:H11" si="0">C10</f>
        <v>1610481369</v>
      </c>
      <c r="D11" s="613">
        <f t="shared" si="0"/>
        <v>0</v>
      </c>
      <c r="E11" s="613">
        <f t="shared" si="0"/>
        <v>1322560000</v>
      </c>
      <c r="F11" s="613">
        <f t="shared" si="0"/>
        <v>1558959799</v>
      </c>
      <c r="G11" s="613">
        <f t="shared" si="0"/>
        <v>1374081570</v>
      </c>
      <c r="H11" s="613">
        <f t="shared" si="0"/>
        <v>0</v>
      </c>
      <c r="J11" s="603"/>
      <c r="K11" s="603"/>
      <c r="L11" s="603"/>
      <c r="M11" s="603"/>
      <c r="N11" s="603"/>
      <c r="O11" s="603"/>
      <c r="P11" s="603"/>
    </row>
    <row r="12" spans="1:16" s="162" customFormat="1" ht="17.25" customHeight="1">
      <c r="A12" s="608" t="s">
        <v>24</v>
      </c>
      <c r="B12" s="608" t="s">
        <v>50</v>
      </c>
      <c r="C12" s="609">
        <v>112835</v>
      </c>
      <c r="D12" s="609">
        <v>0</v>
      </c>
      <c r="E12" s="609">
        <f t="array" ref="E12">SUM(IF(A12=KHN,TH))</f>
        <v>3488898390</v>
      </c>
      <c r="F12" s="609">
        <f t="array" ref="F12">SUM(IF(A12=KHC,TH))</f>
        <v>3467542051</v>
      </c>
      <c r="G12" s="610">
        <f>MAX(C12+E12-D12-F12,0)</f>
        <v>21469174</v>
      </c>
      <c r="H12" s="610">
        <f>MAX(D12+F12-E12-C12,0)</f>
        <v>0</v>
      </c>
      <c r="K12" s="611"/>
      <c r="L12" s="611"/>
      <c r="M12" s="611"/>
    </row>
    <row r="13" spans="1:16" s="162" customFormat="1" ht="17.25" customHeight="1">
      <c r="A13" s="612" t="s">
        <v>51</v>
      </c>
      <c r="B13" s="612" t="s">
        <v>52</v>
      </c>
      <c r="C13" s="613">
        <f t="shared" ref="C13:H13" si="1">C12</f>
        <v>112835</v>
      </c>
      <c r="D13" s="613">
        <f t="shared" si="1"/>
        <v>0</v>
      </c>
      <c r="E13" s="613">
        <f t="shared" si="1"/>
        <v>3488898390</v>
      </c>
      <c r="F13" s="613">
        <f t="shared" si="1"/>
        <v>3467542051</v>
      </c>
      <c r="G13" s="613">
        <f t="shared" si="1"/>
        <v>21469174</v>
      </c>
      <c r="H13" s="613">
        <f t="shared" si="1"/>
        <v>0</v>
      </c>
    </row>
    <row r="14" spans="1:16" s="162" customFormat="1" ht="17.25" customHeight="1">
      <c r="A14" s="612" t="s">
        <v>253</v>
      </c>
      <c r="B14" s="612" t="s">
        <v>265</v>
      </c>
      <c r="C14" s="613">
        <v>98540559</v>
      </c>
      <c r="D14" s="613"/>
      <c r="E14" s="614">
        <f t="array" ref="E14">SUM(IF(A14=KHN,TH))</f>
        <v>2498749784</v>
      </c>
      <c r="F14" s="614">
        <f t="array" ref="F14">SUM(IF(A14=KHC,TH))</f>
        <v>1416391498</v>
      </c>
      <c r="G14" s="613">
        <f>MAX(C14+E14-D14-F14,0)</f>
        <v>1180898845</v>
      </c>
      <c r="H14" s="613">
        <f>MAX(D14+F14-E14-C14,0)</f>
        <v>0</v>
      </c>
    </row>
    <row r="15" spans="1:16" s="162" customFormat="1" ht="17.25" customHeight="1">
      <c r="A15" s="608" t="s">
        <v>9</v>
      </c>
      <c r="B15" s="608" t="s">
        <v>53</v>
      </c>
      <c r="C15" s="609"/>
      <c r="D15" s="609"/>
      <c r="E15" s="609">
        <f t="array" ref="E15">SUM(IF(A15=KHN,TH))</f>
        <v>260812311</v>
      </c>
      <c r="F15" s="609">
        <f t="array" ref="F15">SUM(IF(A15=KHC,TH))</f>
        <v>227135181</v>
      </c>
      <c r="G15" s="610">
        <f>MAX(C15+E15-D15-F15,0)</f>
        <v>33677130</v>
      </c>
      <c r="H15" s="610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2" t="s">
        <v>54</v>
      </c>
      <c r="B16" s="612" t="s">
        <v>55</v>
      </c>
      <c r="C16" s="613">
        <f t="shared" ref="C16:H16" si="2">C15</f>
        <v>0</v>
      </c>
      <c r="D16" s="613">
        <f t="shared" si="2"/>
        <v>0</v>
      </c>
      <c r="E16" s="613">
        <f t="shared" si="2"/>
        <v>260812311</v>
      </c>
      <c r="F16" s="613">
        <f t="shared" si="2"/>
        <v>227135181</v>
      </c>
      <c r="G16" s="613">
        <f t="shared" si="2"/>
        <v>33677130</v>
      </c>
      <c r="H16" s="613">
        <f t="shared" si="2"/>
        <v>0</v>
      </c>
    </row>
    <row r="17" spans="1:12" s="162" customFormat="1" ht="17.25" customHeight="1">
      <c r="A17" s="608" t="s">
        <v>56</v>
      </c>
      <c r="B17" s="608" t="s">
        <v>57</v>
      </c>
      <c r="C17" s="609"/>
      <c r="D17" s="609"/>
      <c r="E17" s="609">
        <f t="array" ref="E17">SUM(IF(A17=KHN,TH))</f>
        <v>45000000</v>
      </c>
      <c r="F17" s="609">
        <f t="array" ref="F17">SUM(IF(A17=KHC,TH))</f>
        <v>45000000</v>
      </c>
      <c r="G17" s="610">
        <f t="shared" ref="G17:G34" si="3">MAX(C17+E17-D17-F17,0)</f>
        <v>0</v>
      </c>
      <c r="H17" s="610">
        <f t="shared" ref="H17:H34" si="4">MAX(D17+F17-E17-C17,0)</f>
        <v>0</v>
      </c>
    </row>
    <row r="18" spans="1:12" s="162" customFormat="1" ht="17.25" customHeight="1">
      <c r="A18" s="612" t="s">
        <v>58</v>
      </c>
      <c r="B18" s="612" t="s">
        <v>59</v>
      </c>
      <c r="C18" s="613">
        <f>C17</f>
        <v>0</v>
      </c>
      <c r="D18" s="613">
        <f>D17</f>
        <v>0</v>
      </c>
      <c r="E18" s="613">
        <f>E17</f>
        <v>45000000</v>
      </c>
      <c r="F18" s="613">
        <f>F17</f>
        <v>45000000</v>
      </c>
      <c r="G18" s="613">
        <f t="shared" si="3"/>
        <v>0</v>
      </c>
      <c r="H18" s="613">
        <f t="shared" si="4"/>
        <v>0</v>
      </c>
    </row>
    <row r="19" spans="1:12" s="162" customFormat="1" ht="17.25" customHeight="1">
      <c r="A19" s="618" t="s">
        <v>366</v>
      </c>
      <c r="B19" s="612" t="s">
        <v>367</v>
      </c>
      <c r="C19" s="613"/>
      <c r="D19" s="613">
        <v>0</v>
      </c>
      <c r="E19" s="614">
        <f t="array" ref="E19">SUM(IF(A19=KHN,TH))</f>
        <v>0</v>
      </c>
      <c r="F19" s="614">
        <f t="array" ref="F19">SUM(IF(A19=KHC,TH))</f>
        <v>0</v>
      </c>
      <c r="G19" s="613">
        <f t="shared" si="3"/>
        <v>0</v>
      </c>
      <c r="H19" s="613">
        <f t="shared" si="4"/>
        <v>0</v>
      </c>
    </row>
    <row r="20" spans="1:12" s="162" customFormat="1" ht="17.25" customHeight="1">
      <c r="A20" s="608" t="s">
        <v>159</v>
      </c>
      <c r="B20" s="608" t="s">
        <v>160</v>
      </c>
      <c r="C20" s="609">
        <v>114850511</v>
      </c>
      <c r="D20" s="609"/>
      <c r="E20" s="609">
        <f t="array" ref="E20">SUM(IF(A20=KHN,TH))</f>
        <v>2267260130</v>
      </c>
      <c r="F20" s="609">
        <f t="array" ref="F20">SUM(IF(A20=KHC,TH))</f>
        <v>1498484441</v>
      </c>
      <c r="G20" s="610">
        <f t="shared" si="3"/>
        <v>883626200</v>
      </c>
      <c r="H20" s="610">
        <f t="shared" si="4"/>
        <v>0</v>
      </c>
      <c r="L20" s="162">
        <f>[1]CDPS!$E$22+[2]CDPS!$E$22</f>
        <v>4103795495</v>
      </c>
    </row>
    <row r="21" spans="1:12" s="162" customFormat="1" ht="17.25" customHeight="1">
      <c r="A21" s="608" t="s">
        <v>161</v>
      </c>
      <c r="B21" s="608" t="s">
        <v>162</v>
      </c>
      <c r="C21" s="609">
        <v>3718000</v>
      </c>
      <c r="D21" s="609"/>
      <c r="E21" s="609">
        <f t="array" ref="E21">SUM(IF(A21=KHN,TH))</f>
        <v>215774100</v>
      </c>
      <c r="F21" s="609">
        <f t="array" ref="F21">SUM(IF(A21=KHC,TH))</f>
        <v>149492100</v>
      </c>
      <c r="G21" s="609">
        <f t="shared" si="3"/>
        <v>70000000</v>
      </c>
      <c r="H21" s="609">
        <f t="shared" si="4"/>
        <v>0</v>
      </c>
    </row>
    <row r="22" spans="1:12" s="162" customFormat="1" ht="17.25" customHeight="1">
      <c r="A22" s="612" t="s">
        <v>163</v>
      </c>
      <c r="B22" s="612" t="s">
        <v>164</v>
      </c>
      <c r="C22" s="613">
        <f>C20+C21</f>
        <v>118568511</v>
      </c>
      <c r="D22" s="613">
        <f>D20+D21</f>
        <v>0</v>
      </c>
      <c r="E22" s="613">
        <f>E20+E21</f>
        <v>2483034230</v>
      </c>
      <c r="F22" s="613">
        <f>F20+F21</f>
        <v>1647976541</v>
      </c>
      <c r="G22" s="613">
        <f t="shared" si="3"/>
        <v>953626200</v>
      </c>
      <c r="H22" s="613">
        <f t="shared" si="4"/>
        <v>0</v>
      </c>
    </row>
    <row r="23" spans="1:12" s="162" customFormat="1" ht="17.25" customHeight="1">
      <c r="A23" s="612" t="s">
        <v>165</v>
      </c>
      <c r="B23" s="612" t="s">
        <v>166</v>
      </c>
      <c r="C23" s="613"/>
      <c r="D23" s="613">
        <v>0</v>
      </c>
      <c r="E23" s="614">
        <f t="array" ref="E23">SUM(IF(A23=KHN,TH))</f>
        <v>0</v>
      </c>
      <c r="F23" s="614">
        <f t="array" ref="F23">SUM(IF(A23=KHC,TH))</f>
        <v>0</v>
      </c>
      <c r="G23" s="613">
        <f t="shared" si="3"/>
        <v>0</v>
      </c>
      <c r="H23" s="613">
        <f t="shared" si="4"/>
        <v>0</v>
      </c>
    </row>
    <row r="24" spans="1:12" s="162" customFormat="1" ht="17.25" customHeight="1">
      <c r="A24" s="612" t="s">
        <v>167</v>
      </c>
      <c r="B24" s="612" t="s">
        <v>168</v>
      </c>
      <c r="C24" s="613"/>
      <c r="D24" s="613">
        <v>0</v>
      </c>
      <c r="E24" s="614">
        <f t="array" ref="E24">SUM(IF(A24=KHN,TH))</f>
        <v>2024761541</v>
      </c>
      <c r="F24" s="614">
        <f t="array" ref="F24">SUM(IF(A24=KHC,TH))</f>
        <v>2024761541</v>
      </c>
      <c r="G24" s="613">
        <f t="shared" si="3"/>
        <v>0</v>
      </c>
      <c r="H24" s="613">
        <f t="shared" si="4"/>
        <v>0</v>
      </c>
    </row>
    <row r="25" spans="1:12" s="162" customFormat="1" ht="17.25" customHeight="1">
      <c r="A25" s="612" t="s">
        <v>169</v>
      </c>
      <c r="B25" s="612" t="s">
        <v>170</v>
      </c>
      <c r="C25" s="613"/>
      <c r="D25" s="613"/>
      <c r="E25" s="614">
        <f t="array" ref="E25">SUM(IF(A25=KHN,TH))</f>
        <v>2024761541</v>
      </c>
      <c r="F25" s="614">
        <f t="array" ref="F25">SUM(IF(A25=KHC,TH))</f>
        <v>2024761541</v>
      </c>
      <c r="G25" s="613">
        <f t="shared" si="3"/>
        <v>0</v>
      </c>
      <c r="H25" s="613">
        <f t="shared" si="4"/>
        <v>0</v>
      </c>
    </row>
    <row r="26" spans="1:12" s="162" customFormat="1" ht="17.25" customHeight="1">
      <c r="A26" s="615" t="s">
        <v>171</v>
      </c>
      <c r="B26" s="616" t="s">
        <v>172</v>
      </c>
      <c r="C26" s="617">
        <v>365000000</v>
      </c>
      <c r="D26" s="617"/>
      <c r="E26" s="609">
        <f t="array" ref="E26">SUM(IF(A26=KHN,TH))</f>
        <v>1000000000</v>
      </c>
      <c r="F26" s="609">
        <f t="array" ref="F26">SUM(IF(A26=KHC,TH))</f>
        <v>0</v>
      </c>
      <c r="G26" s="617">
        <f t="shared" si="3"/>
        <v>1365000000</v>
      </c>
      <c r="H26" s="617">
        <f t="shared" si="4"/>
        <v>0</v>
      </c>
    </row>
    <row r="27" spans="1:12" s="162" customFormat="1" ht="17.25" customHeight="1">
      <c r="A27" s="612" t="s">
        <v>173</v>
      </c>
      <c r="B27" s="612" t="s">
        <v>174</v>
      </c>
      <c r="C27" s="613">
        <f t="shared" ref="C27:H27" si="5">SUM(C26:C26)</f>
        <v>365000000</v>
      </c>
      <c r="D27" s="613">
        <f t="shared" si="5"/>
        <v>0</v>
      </c>
      <c r="E27" s="613">
        <f t="shared" si="5"/>
        <v>1000000000</v>
      </c>
      <c r="F27" s="613">
        <f t="shared" si="5"/>
        <v>0</v>
      </c>
      <c r="G27" s="613">
        <f t="shared" si="5"/>
        <v>1365000000</v>
      </c>
      <c r="H27" s="613">
        <f t="shared" si="5"/>
        <v>0</v>
      </c>
    </row>
    <row r="28" spans="1:12" s="162" customFormat="1" ht="17.25" customHeight="1">
      <c r="A28" s="608" t="s">
        <v>254</v>
      </c>
      <c r="B28" s="608" t="s">
        <v>262</v>
      </c>
      <c r="C28" s="609"/>
      <c r="D28" s="609">
        <v>183250000</v>
      </c>
      <c r="E28" s="609">
        <f t="array" ref="E28">SUM(IF(A28=KHN,TH))</f>
        <v>0</v>
      </c>
      <c r="F28" s="609">
        <f t="array" ref="F28">SUM(IF(A28=KHC,TH))</f>
        <v>98000000</v>
      </c>
      <c r="G28" s="609">
        <f>MAX(C28+E28-D28-F28,0)</f>
        <v>0</v>
      </c>
      <c r="H28" s="609">
        <f>MAX(D28+F28-E28-C28,0)</f>
        <v>281250000</v>
      </c>
    </row>
    <row r="29" spans="1:12" s="162" customFormat="1" ht="17.25" customHeight="1">
      <c r="A29" s="612" t="s">
        <v>263</v>
      </c>
      <c r="B29" s="612" t="s">
        <v>264</v>
      </c>
      <c r="C29" s="613">
        <f>C28</f>
        <v>0</v>
      </c>
      <c r="D29" s="613">
        <f t="shared" ref="D29:H29" si="6">D28</f>
        <v>183250000</v>
      </c>
      <c r="E29" s="613">
        <f t="shared" si="6"/>
        <v>0</v>
      </c>
      <c r="F29" s="613">
        <f t="shared" si="6"/>
        <v>98000000</v>
      </c>
      <c r="G29" s="613">
        <f t="shared" si="6"/>
        <v>0</v>
      </c>
      <c r="H29" s="613">
        <f t="shared" si="6"/>
        <v>281250000</v>
      </c>
    </row>
    <row r="30" spans="1:12" s="162" customFormat="1" ht="17.25" customHeight="1">
      <c r="A30" s="612" t="s">
        <v>8</v>
      </c>
      <c r="B30" s="612" t="s">
        <v>60</v>
      </c>
      <c r="C30" s="613"/>
      <c r="D30" s="613"/>
      <c r="E30" s="614">
        <f t="array" ref="E30">SUM(IF(A30=KHN,TH))</f>
        <v>2468617506</v>
      </c>
      <c r="F30" s="614">
        <f t="array" ref="F30">SUM(IF(A30=KHC,TH))</f>
        <v>3721227654</v>
      </c>
      <c r="G30" s="613">
        <f t="shared" si="3"/>
        <v>0</v>
      </c>
      <c r="H30" s="613">
        <f t="shared" si="4"/>
        <v>1252610148</v>
      </c>
    </row>
    <row r="31" spans="1:12" s="162" customFormat="1" ht="17.25" customHeight="1">
      <c r="A31" s="619" t="s">
        <v>365</v>
      </c>
      <c r="B31" s="608" t="s">
        <v>364</v>
      </c>
      <c r="C31" s="609"/>
      <c r="D31" s="609"/>
      <c r="E31" s="609">
        <f t="array" ref="E31">SUM(IF(A31=KHN,TH))</f>
        <v>227135181</v>
      </c>
      <c r="F31" s="609">
        <f t="array" ref="F31">SUM(IF(A31=KHC,TH))</f>
        <v>227135181</v>
      </c>
      <c r="G31" s="609">
        <f t="shared" ref="G31" si="7">MAX(C31+E31-D31-F31,0)</f>
        <v>0</v>
      </c>
      <c r="H31" s="609">
        <f t="shared" ref="H31" si="8">MAX(D31+F31-E31-C31,0)</f>
        <v>0</v>
      </c>
    </row>
    <row r="32" spans="1:12" s="162" customFormat="1" ht="17.25" customHeight="1">
      <c r="A32" s="608" t="s">
        <v>61</v>
      </c>
      <c r="B32" s="608" t="s">
        <v>62</v>
      </c>
      <c r="C32" s="609"/>
      <c r="D32" s="609"/>
      <c r="E32" s="609">
        <f t="array" ref="E32">SUM(IF(A32=KHN,TH))</f>
        <v>731479</v>
      </c>
      <c r="F32" s="609">
        <f t="array" ref="F32">SUM(IF(A32=KHC,TH))</f>
        <v>0</v>
      </c>
      <c r="G32" s="609">
        <f t="shared" si="3"/>
        <v>731479</v>
      </c>
      <c r="H32" s="609">
        <f t="shared" si="4"/>
        <v>0</v>
      </c>
    </row>
    <row r="33" spans="1:12" s="162" customFormat="1" ht="17.25" customHeight="1">
      <c r="A33" s="608" t="s">
        <v>260</v>
      </c>
      <c r="B33" s="608" t="s">
        <v>261</v>
      </c>
      <c r="C33" s="609"/>
      <c r="D33" s="609"/>
      <c r="E33" s="609">
        <f t="array" ref="E33">SUM(IF(A33=KHN,TH))</f>
        <v>0</v>
      </c>
      <c r="F33" s="609">
        <f t="array" ref="F33">SUM(IF(A33=KHC,TH))</f>
        <v>0</v>
      </c>
      <c r="G33" s="609">
        <f t="shared" si="3"/>
        <v>0</v>
      </c>
      <c r="H33" s="609">
        <f t="shared" si="4"/>
        <v>0</v>
      </c>
    </row>
    <row r="34" spans="1:12" s="162" customFormat="1" ht="17.25" customHeight="1">
      <c r="A34" s="619" t="s">
        <v>63</v>
      </c>
      <c r="B34" s="620" t="s">
        <v>64</v>
      </c>
      <c r="C34" s="621"/>
      <c r="D34" s="621"/>
      <c r="E34" s="621">
        <f t="array" ref="E34">SUM(IF(A34=KHN,TH))</f>
        <v>1000000</v>
      </c>
      <c r="F34" s="621">
        <f t="array" ref="F34">SUM(IF(A34=KHC,TH))</f>
        <v>1000000</v>
      </c>
      <c r="G34" s="621">
        <f t="shared" si="3"/>
        <v>0</v>
      </c>
      <c r="H34" s="621">
        <f t="shared" si="4"/>
        <v>0</v>
      </c>
    </row>
    <row r="35" spans="1:12" s="162" customFormat="1" ht="17.25" customHeight="1">
      <c r="A35" s="608" t="s">
        <v>18</v>
      </c>
      <c r="B35" s="608" t="s">
        <v>65</v>
      </c>
      <c r="C35" s="609">
        <f>C34</f>
        <v>0</v>
      </c>
      <c r="D35" s="609">
        <f t="shared" ref="D35:H35" si="9">D34</f>
        <v>0</v>
      </c>
      <c r="E35" s="609">
        <f t="shared" si="9"/>
        <v>1000000</v>
      </c>
      <c r="F35" s="609">
        <f t="shared" si="9"/>
        <v>1000000</v>
      </c>
      <c r="G35" s="609">
        <f t="shared" si="9"/>
        <v>0</v>
      </c>
      <c r="H35" s="609">
        <f t="shared" si="9"/>
        <v>0</v>
      </c>
    </row>
    <row r="36" spans="1:12" s="162" customFormat="1" ht="17.25" customHeight="1">
      <c r="A36" s="612" t="s">
        <v>66</v>
      </c>
      <c r="B36" s="612" t="s">
        <v>67</v>
      </c>
      <c r="C36" s="613">
        <f>C32+C35+C33+C31</f>
        <v>0</v>
      </c>
      <c r="D36" s="613">
        <f t="shared" ref="D36:H36" si="10">D32+D35+D33+D31</f>
        <v>0</v>
      </c>
      <c r="E36" s="613">
        <f t="shared" si="10"/>
        <v>228866660</v>
      </c>
      <c r="F36" s="613">
        <f t="shared" si="10"/>
        <v>228135181</v>
      </c>
      <c r="G36" s="613">
        <f t="shared" si="10"/>
        <v>731479</v>
      </c>
      <c r="H36" s="613">
        <f t="shared" si="10"/>
        <v>0</v>
      </c>
    </row>
    <row r="37" spans="1:12" s="162" customFormat="1" ht="17.25" customHeight="1">
      <c r="A37" s="608" t="s">
        <v>256</v>
      </c>
      <c r="B37" s="608" t="s">
        <v>257</v>
      </c>
      <c r="C37" s="609">
        <v>0</v>
      </c>
      <c r="D37" s="609">
        <v>0</v>
      </c>
      <c r="E37" s="609">
        <f t="array" ref="E37">SUM(IF(A37=KHN,TH))</f>
        <v>343230000</v>
      </c>
      <c r="F37" s="609">
        <f t="array" ref="F37">SUM(IF(A37=KHC,TH))</f>
        <v>343230000</v>
      </c>
      <c r="G37" s="609">
        <f t="shared" ref="G37:G39" si="11">MAX(C37+E37-D37-F37,0)</f>
        <v>0</v>
      </c>
      <c r="H37" s="609">
        <f t="shared" ref="H37:H39" si="12">MAX(D37+F37-E37-C37,0)</f>
        <v>0</v>
      </c>
    </row>
    <row r="38" spans="1:12" s="162" customFormat="1" ht="17.25" customHeight="1">
      <c r="A38" s="612" t="s">
        <v>258</v>
      </c>
      <c r="B38" s="612" t="s">
        <v>259</v>
      </c>
      <c r="C38" s="613">
        <f>C37</f>
        <v>0</v>
      </c>
      <c r="D38" s="613">
        <f>D37</f>
        <v>0</v>
      </c>
      <c r="E38" s="613">
        <f>E37</f>
        <v>343230000</v>
      </c>
      <c r="F38" s="613">
        <f>F37</f>
        <v>343230000</v>
      </c>
      <c r="G38" s="613">
        <f t="shared" si="11"/>
        <v>0</v>
      </c>
      <c r="H38" s="613">
        <f t="shared" si="12"/>
        <v>0</v>
      </c>
    </row>
    <row r="39" spans="1:12" s="162" customFormat="1" ht="17.25" customHeight="1">
      <c r="A39" s="608" t="s">
        <v>17</v>
      </c>
      <c r="B39" s="608" t="s">
        <v>68</v>
      </c>
      <c r="C39" s="609"/>
      <c r="D39" s="609">
        <v>38951398</v>
      </c>
      <c r="E39" s="609">
        <f t="array" ref="E39">SUM(IF(A39=KHN,TH))</f>
        <v>21656813</v>
      </c>
      <c r="F39" s="609">
        <f t="array" ref="F39">SUM(IF(A39=KHC,TH))</f>
        <v>13732353</v>
      </c>
      <c r="G39" s="609">
        <f t="shared" si="11"/>
        <v>0</v>
      </c>
      <c r="H39" s="609">
        <f t="shared" si="12"/>
        <v>31026938</v>
      </c>
    </row>
    <row r="40" spans="1:12" s="162" customFormat="1" ht="17.25" customHeight="1">
      <c r="A40" s="612" t="s">
        <v>69</v>
      </c>
      <c r="B40" s="612" t="s">
        <v>70</v>
      </c>
      <c r="C40" s="613">
        <f t="shared" ref="C40:H40" si="13">SUM(C39:C39)</f>
        <v>0</v>
      </c>
      <c r="D40" s="613">
        <f t="shared" si="13"/>
        <v>38951398</v>
      </c>
      <c r="E40" s="613">
        <f t="shared" si="13"/>
        <v>21656813</v>
      </c>
      <c r="F40" s="613">
        <f t="shared" si="13"/>
        <v>13732353</v>
      </c>
      <c r="G40" s="613">
        <f t="shared" si="13"/>
        <v>0</v>
      </c>
      <c r="H40" s="613">
        <f t="shared" si="13"/>
        <v>31026938</v>
      </c>
    </row>
    <row r="41" spans="1:12" s="865" customFormat="1" ht="13.5">
      <c r="A41" s="861" t="s">
        <v>1275</v>
      </c>
      <c r="B41" s="862" t="s">
        <v>1276</v>
      </c>
      <c r="C41" s="863">
        <v>0</v>
      </c>
      <c r="D41" s="863"/>
      <c r="E41" s="864">
        <f t="array" ref="E41">SUM(IF(A41=KHN,TH))</f>
        <v>0</v>
      </c>
      <c r="F41" s="864">
        <f t="array" ref="F41">SUM(IF(A41=KHC,TH))</f>
        <v>1000000000</v>
      </c>
      <c r="G41" s="863">
        <f>MAX(C41+E41-D41-F41,0)</f>
        <v>0</v>
      </c>
      <c r="H41" s="863">
        <f>MAX(D41+F41-E41-C41,0)</f>
        <v>1000000000</v>
      </c>
    </row>
    <row r="42" spans="1:12" s="865" customFormat="1" ht="13.5">
      <c r="A42" s="861" t="s">
        <v>1277</v>
      </c>
      <c r="B42" s="862" t="s">
        <v>1278</v>
      </c>
      <c r="C42" s="864">
        <v>0</v>
      </c>
      <c r="D42" s="864"/>
      <c r="E42" s="864">
        <f t="array" ref="E42">SUM(IF(A42=KHN,TH))</f>
        <v>203560000</v>
      </c>
      <c r="F42" s="864">
        <f t="array" ref="F42">SUM(IF(A42=KHC,TH))</f>
        <v>600140000</v>
      </c>
      <c r="G42" s="864">
        <f>MAX(C42+E42-D42-F42,0)</f>
        <v>0</v>
      </c>
      <c r="H42" s="864">
        <f>MAX(D42+F42-E42-C42,0)</f>
        <v>396580000</v>
      </c>
    </row>
    <row r="43" spans="1:12" s="865" customFormat="1" ht="13.5">
      <c r="A43" s="866" t="s">
        <v>1279</v>
      </c>
      <c r="B43" s="867" t="s">
        <v>1280</v>
      </c>
      <c r="C43" s="868">
        <f t="shared" ref="C43:H43" si="14">SUM(C41:C42)</f>
        <v>0</v>
      </c>
      <c r="D43" s="868">
        <f t="shared" si="14"/>
        <v>0</v>
      </c>
      <c r="E43" s="868">
        <f t="shared" si="14"/>
        <v>203560000</v>
      </c>
      <c r="F43" s="868">
        <f t="shared" si="14"/>
        <v>1600140000</v>
      </c>
      <c r="G43" s="868">
        <f t="shared" si="14"/>
        <v>0</v>
      </c>
      <c r="H43" s="868">
        <f t="shared" si="14"/>
        <v>1396580000</v>
      </c>
    </row>
    <row r="44" spans="1:12" s="162" customFormat="1" ht="17.25" customHeight="1">
      <c r="A44" s="608" t="s">
        <v>25</v>
      </c>
      <c r="B44" s="608" t="s">
        <v>71</v>
      </c>
      <c r="C44" s="609"/>
      <c r="D44" s="609">
        <v>1900000000</v>
      </c>
      <c r="E44" s="609">
        <f t="array" ref="E44">SUM(IF(A44=KHN,TH))</f>
        <v>0</v>
      </c>
      <c r="F44" s="609">
        <f t="array" ref="F44">SUM(IF(A44=KHC,TH))</f>
        <v>0</v>
      </c>
      <c r="G44" s="610">
        <f>MAX(C44+E44-D44-F44,0)</f>
        <v>0</v>
      </c>
      <c r="H44" s="610">
        <f>MAX(D44+F44-E44-C44,0)</f>
        <v>1900000000</v>
      </c>
    </row>
    <row r="45" spans="1:12" s="162" customFormat="1" ht="17.25" customHeight="1">
      <c r="A45" s="612" t="s">
        <v>72</v>
      </c>
      <c r="B45" s="612" t="s">
        <v>73</v>
      </c>
      <c r="C45" s="613">
        <v>0</v>
      </c>
      <c r="D45" s="613">
        <f>D44</f>
        <v>1900000000</v>
      </c>
      <c r="E45" s="613">
        <f>E44</f>
        <v>0</v>
      </c>
      <c r="F45" s="613">
        <f>F44</f>
        <v>0</v>
      </c>
      <c r="G45" s="613">
        <f>MAX(C45+E45-D45-F45,0)</f>
        <v>0</v>
      </c>
      <c r="H45" s="613">
        <f>MAX(D45+F45-E45-C45,0)</f>
        <v>1900000000</v>
      </c>
    </row>
    <row r="46" spans="1:12" s="162" customFormat="1" ht="17.25" customHeight="1">
      <c r="A46" s="607" t="s">
        <v>74</v>
      </c>
      <c r="B46" s="608" t="s">
        <v>75</v>
      </c>
      <c r="C46" s="609"/>
      <c r="D46" s="609">
        <v>70501876</v>
      </c>
      <c r="E46" s="609">
        <f t="array" ref="E46">SUM(IF(A46=KHN,TH))</f>
        <v>0</v>
      </c>
      <c r="F46" s="609">
        <f t="array" ref="F46">SUM(IF(A46=KHC,TH))</f>
        <v>0</v>
      </c>
      <c r="G46" s="610">
        <f>MAX(C46+E46-D46-F46,0)</f>
        <v>0</v>
      </c>
      <c r="H46" s="610">
        <f>MAX(D46+F46-E46-C46,0)</f>
        <v>70501876</v>
      </c>
    </row>
    <row r="47" spans="1:12" s="162" customFormat="1" ht="17.25" customHeight="1">
      <c r="A47" s="608" t="s">
        <v>76</v>
      </c>
      <c r="B47" s="608" t="s">
        <v>77</v>
      </c>
      <c r="C47" s="609"/>
      <c r="D47" s="609"/>
      <c r="E47" s="609">
        <f t="array" ref="E47">SUM(IF(A47=TH!$L$10:$L$2361,TH!$K$10:$K$2361))</f>
        <v>2484564</v>
      </c>
      <c r="F47" s="609">
        <f t="array" ref="F47">SUM(IF(A47=TH!$M$10:$M$2361,TH!$K$10:$K$2361))</f>
        <v>0</v>
      </c>
      <c r="G47" s="609">
        <f>MAX(C47+E47-D47-F47,0)</f>
        <v>2484564</v>
      </c>
      <c r="H47" s="609">
        <f>MAX(D47+F47-E47-C47,0)</f>
        <v>0</v>
      </c>
      <c r="J47" s="293">
        <f>L47-H47</f>
        <v>-268631726</v>
      </c>
      <c r="L47" s="162">
        <v>-268631726</v>
      </c>
    </row>
    <row r="48" spans="1:12" s="162" customFormat="1" ht="17.25" customHeight="1">
      <c r="A48" s="612" t="s">
        <v>78</v>
      </c>
      <c r="B48" s="612" t="s">
        <v>79</v>
      </c>
      <c r="C48" s="613">
        <f t="shared" ref="C48:H48" si="15">C47+C46</f>
        <v>0</v>
      </c>
      <c r="D48" s="613">
        <f t="shared" si="15"/>
        <v>70501876</v>
      </c>
      <c r="E48" s="613">
        <f t="shared" si="15"/>
        <v>2484564</v>
      </c>
      <c r="F48" s="613">
        <f t="shared" si="15"/>
        <v>0</v>
      </c>
      <c r="G48" s="613">
        <f t="shared" si="15"/>
        <v>2484564</v>
      </c>
      <c r="H48" s="613">
        <f t="shared" si="15"/>
        <v>70501876</v>
      </c>
    </row>
    <row r="49" spans="1:12" s="162" customFormat="1" ht="17.25" customHeight="1">
      <c r="A49" s="607" t="s">
        <v>177</v>
      </c>
      <c r="B49" s="608" t="s">
        <v>178</v>
      </c>
      <c r="C49" s="609"/>
      <c r="D49" s="609"/>
      <c r="E49" s="609">
        <f t="array" ref="E49">SUM(IF(A49=KHN,TH))</f>
        <v>2271614603</v>
      </c>
      <c r="F49" s="609">
        <f t="array" ref="F49">SUM(IF(A49=KHC,TH))</f>
        <v>2271614603</v>
      </c>
      <c r="G49" s="610"/>
      <c r="H49" s="610"/>
      <c r="I49" s="162">
        <f>E49-F49</f>
        <v>0</v>
      </c>
      <c r="L49" s="162">
        <f>H48-G48</f>
        <v>68017312</v>
      </c>
    </row>
    <row r="50" spans="1:12" s="162" customFormat="1" ht="17.25" customHeight="1">
      <c r="A50" s="612" t="s">
        <v>179</v>
      </c>
      <c r="B50" s="612" t="s">
        <v>180</v>
      </c>
      <c r="C50" s="613"/>
      <c r="D50" s="613"/>
      <c r="E50" s="613">
        <f>E49</f>
        <v>2271614603</v>
      </c>
      <c r="F50" s="613">
        <f>F49</f>
        <v>2271614603</v>
      </c>
      <c r="G50" s="613"/>
      <c r="H50" s="613"/>
      <c r="I50" s="162">
        <f>E50-F50</f>
        <v>0</v>
      </c>
    </row>
    <row r="51" spans="1:12" s="162" customFormat="1" ht="17.25" customHeight="1">
      <c r="A51" s="612" t="s">
        <v>40</v>
      </c>
      <c r="B51" s="612" t="s">
        <v>80</v>
      </c>
      <c r="C51" s="613"/>
      <c r="D51" s="613"/>
      <c r="E51" s="614">
        <f t="array" ref="E51">SUM(IF(A51=KHN,TH))</f>
        <v>117826</v>
      </c>
      <c r="F51" s="614">
        <f t="array" ref="F51">SUM(IF(A51=KHC,TH))</f>
        <v>117826</v>
      </c>
      <c r="G51" s="613"/>
      <c r="H51" s="613"/>
      <c r="I51" s="162">
        <f t="shared" ref="I51:I59" si="16">E51-F51</f>
        <v>0</v>
      </c>
    </row>
    <row r="52" spans="1:12" s="162" customFormat="1" ht="17.25" customHeight="1">
      <c r="A52" s="612" t="s">
        <v>175</v>
      </c>
      <c r="B52" s="612" t="s">
        <v>176</v>
      </c>
      <c r="C52" s="613"/>
      <c r="D52" s="613"/>
      <c r="E52" s="614">
        <f t="array" ref="E52">SUM(IF(A52=KHN,TH))</f>
        <v>2024761541</v>
      </c>
      <c r="F52" s="614">
        <f t="array" ref="F52">SUM(IF(A52=KHC,TH))</f>
        <v>2024761541</v>
      </c>
      <c r="G52" s="613"/>
      <c r="H52" s="613"/>
      <c r="I52" s="162">
        <f t="shared" si="16"/>
        <v>0</v>
      </c>
    </row>
    <row r="53" spans="1:12" s="162" customFormat="1" ht="17.25" customHeight="1">
      <c r="A53" s="612" t="s">
        <v>81</v>
      </c>
      <c r="B53" s="612" t="s">
        <v>82</v>
      </c>
      <c r="C53" s="613"/>
      <c r="D53" s="613"/>
      <c r="E53" s="614">
        <f t="array" ref="E53">SUM(IF(A53=KHN,TH))</f>
        <v>90842004</v>
      </c>
      <c r="F53" s="614">
        <f t="array" ref="F53">SUM(IF(A53=KHC,TH))</f>
        <v>90842004</v>
      </c>
      <c r="G53" s="613"/>
      <c r="H53" s="613"/>
      <c r="I53" s="162">
        <f t="shared" si="16"/>
        <v>0</v>
      </c>
    </row>
    <row r="54" spans="1:12" s="162" customFormat="1" ht="17.25" customHeight="1">
      <c r="A54" s="618" t="s">
        <v>255</v>
      </c>
      <c r="B54" s="612" t="s">
        <v>323</v>
      </c>
      <c r="C54" s="613"/>
      <c r="D54" s="613"/>
      <c r="E54" s="614">
        <f t="array" ref="E54">SUM(IF(A54=KHN,TH))</f>
        <v>0</v>
      </c>
      <c r="F54" s="614">
        <f t="array" ref="F54">SUM(IF(A54=KHC,TH))</f>
        <v>0</v>
      </c>
      <c r="G54" s="613"/>
      <c r="H54" s="613"/>
      <c r="I54" s="162">
        <f>E54-F54</f>
        <v>0</v>
      </c>
    </row>
    <row r="55" spans="1:12" s="162" customFormat="1" ht="17.25" customHeight="1">
      <c r="A55" s="612" t="s">
        <v>83</v>
      </c>
      <c r="B55" s="612" t="s">
        <v>84</v>
      </c>
      <c r="C55" s="613"/>
      <c r="D55" s="613"/>
      <c r="E55" s="614">
        <f t="array" ref="E55">SUM(IF(A55=KHN,TH))</f>
        <v>157001740</v>
      </c>
      <c r="F55" s="614">
        <f t="array" ref="F55">SUM(IF(A55=KHC,TH))</f>
        <v>157001740</v>
      </c>
      <c r="G55" s="613"/>
      <c r="H55" s="613"/>
      <c r="I55" s="162">
        <f t="shared" si="16"/>
        <v>0</v>
      </c>
    </row>
    <row r="56" spans="1:12" s="162" customFormat="1" ht="17.25" customHeight="1">
      <c r="A56" s="618" t="s">
        <v>85</v>
      </c>
      <c r="B56" s="612" t="s">
        <v>86</v>
      </c>
      <c r="C56" s="613"/>
      <c r="D56" s="613"/>
      <c r="E56" s="614">
        <f t="array" ref="E56">SUM(IF(A56=KHN,TH))</f>
        <v>0</v>
      </c>
      <c r="F56" s="614">
        <f t="array" ref="F56">SUM(IF(A56=KHC,TH))</f>
        <v>0</v>
      </c>
      <c r="G56" s="613"/>
      <c r="H56" s="613"/>
      <c r="I56" s="162">
        <f t="shared" si="16"/>
        <v>0</v>
      </c>
    </row>
    <row r="57" spans="1:12" s="162" customFormat="1" ht="17.25" customHeight="1">
      <c r="A57" s="612" t="s">
        <v>87</v>
      </c>
      <c r="B57" s="612" t="s">
        <v>88</v>
      </c>
      <c r="C57" s="613"/>
      <c r="D57" s="613"/>
      <c r="E57" s="614">
        <f t="array" ref="E57">SUM(IF(A57=KHN,TH))</f>
        <v>1611708</v>
      </c>
      <c r="F57" s="614">
        <f t="array" ref="F57">SUM(IF(A57=KHC,TH))</f>
        <v>1611708</v>
      </c>
      <c r="G57" s="613"/>
      <c r="H57" s="613"/>
      <c r="I57" s="162">
        <f t="shared" si="16"/>
        <v>0</v>
      </c>
    </row>
    <row r="58" spans="1:12" s="162" customFormat="1" ht="17.25" customHeight="1">
      <c r="A58" s="618" t="s">
        <v>89</v>
      </c>
      <c r="B58" s="612" t="s">
        <v>90</v>
      </c>
      <c r="C58" s="613"/>
      <c r="D58" s="613"/>
      <c r="E58" s="614">
        <f t="array" ref="E58">SUM(IF(A58=KHN,TH))</f>
        <v>0</v>
      </c>
      <c r="F58" s="614">
        <f t="array" ref="F58">SUM(IF(A58=KHC,TH))</f>
        <v>0</v>
      </c>
      <c r="G58" s="613"/>
      <c r="H58" s="613"/>
      <c r="I58" s="162">
        <f t="shared" si="16"/>
        <v>0</v>
      </c>
    </row>
    <row r="59" spans="1:12" s="162" customFormat="1" ht="17.25" customHeight="1">
      <c r="A59" s="612" t="s">
        <v>91</v>
      </c>
      <c r="B59" s="612" t="s">
        <v>92</v>
      </c>
      <c r="C59" s="613"/>
      <c r="D59" s="613"/>
      <c r="E59" s="622">
        <f t="array" ref="E59">SUM(IF(A59=KHN,TH))</f>
        <v>2274216993</v>
      </c>
      <c r="F59" s="622">
        <f t="array" ref="F59">SUM(IF(A59=TH!$M$10:$M$2361,TH!$K$10:$K$2361))</f>
        <v>2274216993</v>
      </c>
      <c r="G59" s="613"/>
      <c r="H59" s="613"/>
      <c r="I59" s="162">
        <f t="shared" si="16"/>
        <v>0</v>
      </c>
    </row>
    <row r="60" spans="1:12" s="162" customFormat="1" ht="17.25" customHeight="1">
      <c r="A60" s="952" t="s">
        <v>39</v>
      </c>
      <c r="B60" s="953"/>
      <c r="C60" s="623">
        <f>C11+C13+C14+C16+C18+C19+C22+C23+C24+C25+C27+C29+C30+C36+C38+C40+C43+C45+C48+C50+C51+C52+C53+C54+C55+C56+C57+C58+C59</f>
        <v>2192703274</v>
      </c>
      <c r="D60" s="623">
        <f t="shared" ref="D60:H60" si="17">D11+D13+D14+D16+D18+D19+D22+D23+D24+D25+D27+D29+D30+D36+D38+D40+D43+D45+D48+D50+D51+D52+D53+D54+D55+D56+D57+D58+D59</f>
        <v>2192703274</v>
      </c>
      <c r="E60" s="623">
        <f t="shared" si="17"/>
        <v>25237159755</v>
      </c>
      <c r="F60" s="623">
        <f t="shared" si="17"/>
        <v>25237159755</v>
      </c>
      <c r="G60" s="623">
        <f t="shared" si="17"/>
        <v>4931968962</v>
      </c>
      <c r="H60" s="623">
        <f t="shared" si="17"/>
        <v>4931968962</v>
      </c>
    </row>
    <row r="61" spans="1:12">
      <c r="E61" s="624"/>
      <c r="F61" s="625"/>
    </row>
    <row r="62" spans="1:12">
      <c r="D62" s="162">
        <f>D60-C60</f>
        <v>0</v>
      </c>
      <c r="E62" s="625"/>
      <c r="F62" s="625">
        <f>F60-E60</f>
        <v>0</v>
      </c>
      <c r="H62" s="625">
        <f>G60-H60</f>
        <v>0</v>
      </c>
    </row>
    <row r="63" spans="1:12">
      <c r="E63" s="626"/>
      <c r="F63" s="626"/>
    </row>
    <row r="64" spans="1:12">
      <c r="E64" s="626"/>
      <c r="F64" s="62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870"/>
  <sheetViews>
    <sheetView tabSelected="1" topLeftCell="A7" workbookViewId="0">
      <pane ySplit="3" topLeftCell="A948" activePane="bottomLeft" state="frozen"/>
      <selection activeCell="A7" sqref="A7"/>
      <selection pane="bottomLeft" activeCell="K998" sqref="K998:K1029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2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408</v>
      </c>
      <c r="B1" s="31"/>
      <c r="C1" s="31"/>
      <c r="D1" s="32"/>
      <c r="E1" s="32"/>
      <c r="F1" s="33"/>
      <c r="G1" s="466"/>
      <c r="H1" s="56"/>
      <c r="I1" s="817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409</v>
      </c>
      <c r="B2" s="31"/>
      <c r="C2" s="31"/>
      <c r="D2" s="32"/>
      <c r="E2" s="32"/>
      <c r="F2" s="32"/>
      <c r="G2" s="466"/>
      <c r="H2" s="57"/>
      <c r="I2" s="818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18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6" t="s">
        <v>93</v>
      </c>
      <c r="D4" s="976"/>
      <c r="E4" s="976"/>
      <c r="F4" s="976"/>
      <c r="G4" s="976"/>
      <c r="H4" s="976"/>
      <c r="I4" s="976"/>
      <c r="J4" s="976"/>
      <c r="K4" s="976"/>
      <c r="L4" s="976"/>
      <c r="M4" s="976"/>
    </row>
    <row r="5" spans="1:28" ht="14.25">
      <c r="B5" s="42"/>
      <c r="C5" s="977"/>
      <c r="D5" s="977"/>
      <c r="E5" s="977"/>
      <c r="F5" s="977"/>
      <c r="G5" s="977"/>
      <c r="H5" s="977"/>
      <c r="I5" s="977"/>
      <c r="J5" s="977"/>
      <c r="K5" s="977"/>
      <c r="L5" s="977"/>
      <c r="M5" s="977"/>
    </row>
    <row r="6" spans="1:28">
      <c r="B6" s="42"/>
      <c r="C6" s="42"/>
      <c r="D6" s="42"/>
      <c r="E6" s="42"/>
      <c r="F6" s="42"/>
      <c r="G6" s="31"/>
      <c r="H6" s="43"/>
      <c r="I6" s="819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56" t="s">
        <v>117</v>
      </c>
      <c r="B7" s="958" t="s">
        <v>101</v>
      </c>
      <c r="C7" s="978" t="s">
        <v>20</v>
      </c>
      <c r="D7" s="979" t="s">
        <v>1</v>
      </c>
      <c r="E7" s="980"/>
      <c r="F7" s="978" t="s">
        <v>0</v>
      </c>
      <c r="G7" s="982" t="s">
        <v>116</v>
      </c>
      <c r="H7" s="960" t="s">
        <v>44</v>
      </c>
      <c r="I7" s="971" t="s">
        <v>252</v>
      </c>
      <c r="J7" s="972"/>
      <c r="K7" s="978" t="s">
        <v>157</v>
      </c>
      <c r="L7" s="981" t="s">
        <v>94</v>
      </c>
      <c r="M7" s="981"/>
      <c r="N7" s="963" t="s">
        <v>398</v>
      </c>
      <c r="O7" s="973" t="s">
        <v>1279</v>
      </c>
      <c r="P7" s="965" t="s">
        <v>47</v>
      </c>
      <c r="Q7" s="966"/>
      <c r="R7" s="967"/>
      <c r="S7" s="965" t="s">
        <v>51</v>
      </c>
      <c r="T7" s="966"/>
      <c r="U7" s="967"/>
      <c r="V7" s="963" t="s">
        <v>397</v>
      </c>
      <c r="W7" s="961" t="str">
        <f>CTTK!$E$7</f>
        <v>642</v>
      </c>
      <c r="X7" s="975" t="s">
        <v>163</v>
      </c>
      <c r="Y7" s="975"/>
      <c r="Z7" s="975"/>
      <c r="AA7" s="975" t="s">
        <v>344</v>
      </c>
      <c r="AB7" s="787"/>
    </row>
    <row r="8" spans="1:28" ht="24.75" customHeight="1">
      <c r="A8" s="957"/>
      <c r="B8" s="959"/>
      <c r="C8" s="978"/>
      <c r="D8" s="202" t="s">
        <v>15</v>
      </c>
      <c r="E8" s="201" t="s">
        <v>32</v>
      </c>
      <c r="F8" s="978"/>
      <c r="G8" s="983"/>
      <c r="H8" s="960"/>
      <c r="I8" s="820" t="s">
        <v>206</v>
      </c>
      <c r="J8" s="262" t="s">
        <v>207</v>
      </c>
      <c r="K8" s="978"/>
      <c r="L8" s="203" t="s">
        <v>22</v>
      </c>
      <c r="M8" s="203" t="s">
        <v>23</v>
      </c>
      <c r="N8" s="964"/>
      <c r="O8" s="974"/>
      <c r="P8" s="968"/>
      <c r="Q8" s="969"/>
      <c r="R8" s="970"/>
      <c r="S8" s="968"/>
      <c r="T8" s="969"/>
      <c r="U8" s="970"/>
      <c r="V8" s="964"/>
      <c r="W8" s="962"/>
      <c r="X8" s="975"/>
      <c r="Y8" s="975"/>
      <c r="Z8" s="975"/>
      <c r="AA8" s="975"/>
      <c r="AB8" s="78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21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8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9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54"/>
      <c r="J11" s="254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9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54"/>
      <c r="J12" s="25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9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9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412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9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9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9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9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54"/>
      <c r="J18" s="254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9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9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9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411</v>
      </c>
      <c r="G21" s="49"/>
      <c r="H21" s="50"/>
      <c r="I21" s="254"/>
      <c r="J21" s="254"/>
      <c r="K21" s="51">
        <v>2484564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9"/>
    </row>
    <row r="22" spans="1:28" s="930" customFormat="1" ht="15.75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23">
        <f t="shared" si="1"/>
        <v>41641</v>
      </c>
      <c r="D22" s="923" t="s">
        <v>327</v>
      </c>
      <c r="E22" s="923">
        <v>41641</v>
      </c>
      <c r="F22" s="924" t="s">
        <v>1366</v>
      </c>
      <c r="G22" s="925"/>
      <c r="H22" s="926"/>
      <c r="I22" s="927"/>
      <c r="J22" s="927"/>
      <c r="K22" s="928">
        <v>18250000</v>
      </c>
      <c r="L22" s="929" t="s">
        <v>167</v>
      </c>
      <c r="M22" s="929" t="s">
        <v>254</v>
      </c>
      <c r="N22" s="52" t="str">
        <f>IF(AND('331-CT'!$E$7=TH!H22,OR(L22="331",M22="331")),"331",IF(AND(OR(L22="131",M22="131"),H22='131-CT'!$E$7),"131",""))</f>
        <v/>
      </c>
      <c r="O22" s="89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30" customFormat="1" ht="15.75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23">
        <f t="shared" si="1"/>
        <v>41730</v>
      </c>
      <c r="D23" s="923" t="s">
        <v>327</v>
      </c>
      <c r="E23" s="923">
        <v>41730</v>
      </c>
      <c r="F23" s="924" t="s">
        <v>1366</v>
      </c>
      <c r="G23" s="931"/>
      <c r="H23" s="926"/>
      <c r="I23" s="927"/>
      <c r="J23" s="927"/>
      <c r="K23" s="928">
        <v>18250000</v>
      </c>
      <c r="L23" s="929" t="s">
        <v>167</v>
      </c>
      <c r="M23" s="929" t="s">
        <v>254</v>
      </c>
      <c r="N23" s="52" t="str">
        <f>IF(AND('331-CT'!$E$7=TH!H23,OR(L23="331",M23="331")),"331",IF(AND(OR(L23="131",M23="131"),H23='131-CT'!$E$7),"131",""))</f>
        <v/>
      </c>
      <c r="O23" s="89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30" customFormat="1" ht="15.75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23">
        <f t="shared" si="1"/>
        <v>41821</v>
      </c>
      <c r="D24" s="923" t="s">
        <v>327</v>
      </c>
      <c r="E24" s="923">
        <v>41821</v>
      </c>
      <c r="F24" s="924" t="s">
        <v>1366</v>
      </c>
      <c r="G24" s="931"/>
      <c r="H24" s="926"/>
      <c r="I24" s="927"/>
      <c r="J24" s="927"/>
      <c r="K24" s="928">
        <v>30750000</v>
      </c>
      <c r="L24" s="929" t="s">
        <v>167</v>
      </c>
      <c r="M24" s="929" t="s">
        <v>254</v>
      </c>
      <c r="N24" s="52" t="str">
        <f>IF(AND('331-CT'!$E$7=TH!H24,OR(L24="331",M24="331")),"331",IF(AND(OR(L24="131",M24="131"),H24='131-CT'!$E$7),"131",""))</f>
        <v/>
      </c>
      <c r="O24" s="89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30" customFormat="1" ht="15.75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23">
        <f t="shared" si="1"/>
        <v>41913</v>
      </c>
      <c r="D25" s="923" t="s">
        <v>327</v>
      </c>
      <c r="E25" s="923">
        <v>41913</v>
      </c>
      <c r="F25" s="924" t="s">
        <v>1366</v>
      </c>
      <c r="G25" s="931"/>
      <c r="H25" s="926"/>
      <c r="I25" s="927"/>
      <c r="J25" s="927"/>
      <c r="K25" s="928">
        <v>30750000</v>
      </c>
      <c r="L25" s="929" t="s">
        <v>167</v>
      </c>
      <c r="M25" s="929" t="s">
        <v>254</v>
      </c>
      <c r="N25" s="52" t="str">
        <f>IF(AND('331-CT'!$E$7=TH!H25,OR(L25="331",M25="331")),"331",IF(AND(OR(L25="131",M25="131"),H25='131-CT'!$E$7),"131",""))</f>
        <v/>
      </c>
      <c r="O25" s="89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30" customFormat="1" ht="15.75" customHeight="1">
      <c r="A26" s="204" t="str">
        <f>IF(B26&lt;&gt;"",IF(AND(B26&gt;=_TM1,B26&lt;=_TM2,OR([2]TH!L26="1111",[2]TH!M26="1111")),[2]TH!D26,""),"")</f>
        <v/>
      </c>
      <c r="B26" s="932">
        <f t="shared" si="0"/>
        <v>1</v>
      </c>
      <c r="C26" s="923">
        <f t="shared" si="1"/>
        <v>41670</v>
      </c>
      <c r="D26" s="923" t="s">
        <v>327</v>
      </c>
      <c r="E26" s="923">
        <v>41670</v>
      </c>
      <c r="F26" s="924" t="s">
        <v>1367</v>
      </c>
      <c r="G26" s="925"/>
      <c r="H26" s="926"/>
      <c r="I26" s="927"/>
      <c r="J26" s="927"/>
      <c r="K26" s="928">
        <v>5820000</v>
      </c>
      <c r="L26" s="929" t="s">
        <v>83</v>
      </c>
      <c r="M26" s="929" t="s">
        <v>256</v>
      </c>
      <c r="N26" s="52" t="str">
        <f>IF(AND('331-CT'!$E$7=TH!H26,OR(L26="331",M26="331")),"331",IF(AND(OR(L26="131",M26="131"),H26='131-CT'!$E$7),"131",""))</f>
        <v/>
      </c>
      <c r="O26" s="89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30" customFormat="1" ht="15.75" customHeight="1">
      <c r="A27" s="204" t="str">
        <f>IF(B27&lt;&gt;"",IF(AND(B27&gt;=_TM1,B27&lt;=_TM2,OR([2]TH!L27="1111",[2]TH!M27="1111")),[2]TH!D27,""),"")</f>
        <v/>
      </c>
      <c r="B27" s="932">
        <f t="shared" si="0"/>
        <v>1</v>
      </c>
      <c r="C27" s="923">
        <f t="shared" si="1"/>
        <v>41670</v>
      </c>
      <c r="D27" s="923" t="s">
        <v>327</v>
      </c>
      <c r="E27" s="923">
        <v>41670</v>
      </c>
      <c r="F27" s="924" t="s">
        <v>1368</v>
      </c>
      <c r="G27" s="925"/>
      <c r="H27" s="926"/>
      <c r="I27" s="927"/>
      <c r="J27" s="927"/>
      <c r="K27" s="928">
        <v>5120000</v>
      </c>
      <c r="L27" s="929" t="s">
        <v>167</v>
      </c>
      <c r="M27" s="929" t="s">
        <v>256</v>
      </c>
      <c r="N27" s="52" t="str">
        <f>IF(AND('331-CT'!$E$7=TH!H27,OR(L27="331",M27="331")),"331",IF(AND(OR(L27="131",M27="131"),H27='131-CT'!$E$7),"131",""))</f>
        <v/>
      </c>
      <c r="O27" s="89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30" customFormat="1" ht="15.75" customHeight="1">
      <c r="A28" s="204" t="str">
        <f>IF(B28&lt;&gt;"",IF(AND(B28&gt;=_TM1,B28&lt;=_TM2,OR([2]TH!L28="1111",[2]TH!M28="1111")),[2]TH!D28,""),"")</f>
        <v/>
      </c>
      <c r="B28" s="932">
        <f t="shared" si="0"/>
        <v>1</v>
      </c>
      <c r="C28" s="923">
        <f t="shared" si="1"/>
        <v>41670</v>
      </c>
      <c r="D28" s="923" t="s">
        <v>327</v>
      </c>
      <c r="E28" s="923">
        <v>41670</v>
      </c>
      <c r="F28" s="924" t="str">
        <f>"Thanh toán tiền lương tháng "&amp;MONTH(E28)&amp;"/"&amp;YEAR(E28)</f>
        <v>Thanh toán tiền lương tháng 1/2014</v>
      </c>
      <c r="G28" s="925"/>
      <c r="H28" s="926"/>
      <c r="I28" s="927"/>
      <c r="J28" s="927"/>
      <c r="K28" s="928">
        <f>K26+K27</f>
        <v>10940000</v>
      </c>
      <c r="L28" s="929" t="s">
        <v>256</v>
      </c>
      <c r="M28" s="929" t="s">
        <v>47</v>
      </c>
      <c r="N28" s="52" t="str">
        <f>IF(AND('331-CT'!$E$7=TH!H28,OR(L28="331",M28="331")),"331",IF(AND(OR(L28="131",M28="131"),H28='131-CT'!$E$7),"131",""))</f>
        <v/>
      </c>
      <c r="O28" s="89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23">
        <f t="shared" si="1"/>
        <v>41698</v>
      </c>
      <c r="D29" s="923" t="s">
        <v>327</v>
      </c>
      <c r="E29" s="923">
        <v>41698</v>
      </c>
      <c r="F29" s="924" t="s">
        <v>1367</v>
      </c>
      <c r="G29" s="925"/>
      <c r="H29" s="926"/>
      <c r="I29" s="927"/>
      <c r="J29" s="927"/>
      <c r="K29" s="928">
        <v>5760000</v>
      </c>
      <c r="L29" s="929" t="s">
        <v>83</v>
      </c>
      <c r="M29" s="929" t="s">
        <v>256</v>
      </c>
      <c r="N29" s="52" t="str">
        <f>IF(AND('331-CT'!$E$7=TH!H29,OR(L29="331",M29="331")),"331",IF(AND(OR(L29="131",M29="131"),H29='131-CT'!$E$7),"131",""))</f>
        <v/>
      </c>
      <c r="O29" s="89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23">
        <f t="shared" si="1"/>
        <v>41698</v>
      </c>
      <c r="D30" s="923" t="s">
        <v>327</v>
      </c>
      <c r="E30" s="923">
        <v>41698</v>
      </c>
      <c r="F30" s="924" t="s">
        <v>1368</v>
      </c>
      <c r="G30" s="925"/>
      <c r="H30" s="926"/>
      <c r="I30" s="927"/>
      <c r="J30" s="927"/>
      <c r="K30" s="928">
        <v>5060000</v>
      </c>
      <c r="L30" s="929" t="s">
        <v>167</v>
      </c>
      <c r="M30" s="929" t="s">
        <v>256</v>
      </c>
      <c r="N30" s="52" t="str">
        <f>IF(AND('331-CT'!$E$7=TH!H30,OR(L30="331",M30="331")),"331",IF(AND(OR(L30="131",M30="131"),H30='131-CT'!$E$7),"131",""))</f>
        <v/>
      </c>
      <c r="O30" s="89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23">
        <f t="shared" si="1"/>
        <v>41698</v>
      </c>
      <c r="D31" s="923" t="s">
        <v>327</v>
      </c>
      <c r="E31" s="923">
        <v>41698</v>
      </c>
      <c r="F31" s="924" t="str">
        <f t="shared" ref="F31" si="3">"Thanh toán tiền lương tháng "&amp;MONTH(E31)&amp;"/"&amp;YEAR(E31)</f>
        <v>Thanh toán tiền lương tháng 2/2014</v>
      </c>
      <c r="G31" s="925"/>
      <c r="H31" s="926"/>
      <c r="I31" s="927"/>
      <c r="J31" s="927"/>
      <c r="K31" s="928">
        <f t="shared" ref="K31" si="4">K29+K30</f>
        <v>10820000</v>
      </c>
      <c r="L31" s="929" t="s">
        <v>256</v>
      </c>
      <c r="M31" s="929" t="s">
        <v>47</v>
      </c>
      <c r="N31" s="52" t="str">
        <f>IF(AND('331-CT'!$E$7=TH!H31,OR(L31="331",M31="331")),"331",IF(AND(OR(L31="131",M31="131"),H31='131-CT'!$E$7),"131",""))</f>
        <v/>
      </c>
      <c r="O31" s="89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23">
        <f t="shared" si="1"/>
        <v>41729</v>
      </c>
      <c r="D32" s="923" t="s">
        <v>327</v>
      </c>
      <c r="E32" s="923">
        <v>41729</v>
      </c>
      <c r="F32" s="924" t="s">
        <v>1367</v>
      </c>
      <c r="G32" s="925"/>
      <c r="H32" s="926"/>
      <c r="I32" s="927"/>
      <c r="J32" s="927"/>
      <c r="K32" s="928">
        <v>5880000</v>
      </c>
      <c r="L32" s="929" t="s">
        <v>83</v>
      </c>
      <c r="M32" s="929" t="s">
        <v>256</v>
      </c>
      <c r="N32" s="52" t="str">
        <f>IF(AND('331-CT'!$E$7=TH!H32,OR(L32="331",M32="331")),"331",IF(AND(OR(L32="131",M32="131"),H32='131-CT'!$E$7),"131",""))</f>
        <v/>
      </c>
      <c r="O32" s="89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23">
        <f t="shared" si="1"/>
        <v>41729</v>
      </c>
      <c r="D33" s="923" t="s">
        <v>327</v>
      </c>
      <c r="E33" s="923">
        <v>41729</v>
      </c>
      <c r="F33" s="924" t="s">
        <v>1368</v>
      </c>
      <c r="G33" s="925"/>
      <c r="H33" s="926"/>
      <c r="I33" s="927"/>
      <c r="J33" s="927"/>
      <c r="K33" s="928">
        <v>5180000</v>
      </c>
      <c r="L33" s="929" t="s">
        <v>167</v>
      </c>
      <c r="M33" s="929" t="s">
        <v>256</v>
      </c>
      <c r="N33" s="52" t="str">
        <f>IF(AND('331-CT'!$E$7=TH!H33,OR(L33="331",M33="331")),"331",IF(AND(OR(L33="131",M33="131"),H33='131-CT'!$E$7),"131",""))</f>
        <v/>
      </c>
      <c r="O33" s="89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23">
        <f t="shared" si="1"/>
        <v>41729</v>
      </c>
      <c r="D34" s="923" t="s">
        <v>327</v>
      </c>
      <c r="E34" s="923">
        <v>41729</v>
      </c>
      <c r="F34" s="924" t="str">
        <f t="shared" ref="F34" si="5">"Thanh toán tiền lương tháng "&amp;MONTH(E34)&amp;"/"&amp;YEAR(E34)</f>
        <v>Thanh toán tiền lương tháng 3/2014</v>
      </c>
      <c r="G34" s="925"/>
      <c r="H34" s="926"/>
      <c r="I34" s="927"/>
      <c r="J34" s="927"/>
      <c r="K34" s="928">
        <f t="shared" ref="K34" si="6">K32+K33</f>
        <v>11060000</v>
      </c>
      <c r="L34" s="929" t="s">
        <v>256</v>
      </c>
      <c r="M34" s="929" t="s">
        <v>47</v>
      </c>
      <c r="N34" s="52" t="str">
        <f>IF(AND('331-CT'!$E$7=TH!H34,OR(L34="331",M34="331")),"331",IF(AND(OR(L34="131",M34="131"),H34='131-CT'!$E$7),"131",""))</f>
        <v/>
      </c>
      <c r="O34" s="89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23">
        <f t="shared" si="1"/>
        <v>41759</v>
      </c>
      <c r="D35" s="923" t="s">
        <v>327</v>
      </c>
      <c r="E35" s="923">
        <v>41759</v>
      </c>
      <c r="F35" s="924" t="s">
        <v>1367</v>
      </c>
      <c r="G35" s="925"/>
      <c r="H35" s="926"/>
      <c r="I35" s="927"/>
      <c r="J35" s="927"/>
      <c r="K35" s="928">
        <v>5850000</v>
      </c>
      <c r="L35" s="929" t="s">
        <v>83</v>
      </c>
      <c r="M35" s="929" t="s">
        <v>256</v>
      </c>
      <c r="N35" s="52" t="str">
        <f>IF(AND('331-CT'!$E$7=TH!H35,OR(L35="331",M35="331")),"331",IF(AND(OR(L35="131",M35="131"),H35='131-CT'!$E$7),"131",""))</f>
        <v/>
      </c>
      <c r="O35" s="89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23">
        <f t="shared" si="1"/>
        <v>41759</v>
      </c>
      <c r="D36" s="923" t="s">
        <v>327</v>
      </c>
      <c r="E36" s="923">
        <v>41759</v>
      </c>
      <c r="F36" s="924" t="s">
        <v>1368</v>
      </c>
      <c r="G36" s="925"/>
      <c r="H36" s="926"/>
      <c r="I36" s="927"/>
      <c r="J36" s="927"/>
      <c r="K36" s="928">
        <v>5150000</v>
      </c>
      <c r="L36" s="929" t="s">
        <v>167</v>
      </c>
      <c r="M36" s="929" t="s">
        <v>256</v>
      </c>
      <c r="N36" s="52" t="str">
        <f>IF(AND('331-CT'!$E$7=TH!H36,OR(L36="331",M36="331")),"331",IF(AND(OR(L36="131",M36="131"),H36='131-CT'!$E$7),"131",""))</f>
        <v/>
      </c>
      <c r="O36" s="89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23">
        <f t="shared" si="1"/>
        <v>41759</v>
      </c>
      <c r="D37" s="923" t="s">
        <v>327</v>
      </c>
      <c r="E37" s="923">
        <v>41759</v>
      </c>
      <c r="F37" s="924" t="str">
        <f t="shared" ref="F37" si="7">"Thanh toán tiền lương tháng "&amp;MONTH(E37)&amp;"/"&amp;YEAR(E37)</f>
        <v>Thanh toán tiền lương tháng 4/2014</v>
      </c>
      <c r="G37" s="925"/>
      <c r="H37" s="926"/>
      <c r="I37" s="927"/>
      <c r="J37" s="927"/>
      <c r="K37" s="928">
        <f t="shared" ref="K37" si="8">K35+K36</f>
        <v>11000000</v>
      </c>
      <c r="L37" s="929" t="s">
        <v>256</v>
      </c>
      <c r="M37" s="929" t="s">
        <v>47</v>
      </c>
      <c r="N37" s="52" t="str">
        <f>IF(AND('331-CT'!$E$7=TH!H37,OR(L37="331",M37="331")),"331",IF(AND(OR(L37="131",M37="131"),H37='131-CT'!$E$7),"131",""))</f>
        <v/>
      </c>
      <c r="O37" s="896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23">
        <f t="shared" si="1"/>
        <v>41790</v>
      </c>
      <c r="D38" s="923" t="s">
        <v>327</v>
      </c>
      <c r="E38" s="923">
        <v>41790</v>
      </c>
      <c r="F38" s="924" t="s">
        <v>1367</v>
      </c>
      <c r="G38" s="925"/>
      <c r="H38" s="926"/>
      <c r="I38" s="927"/>
      <c r="J38" s="927"/>
      <c r="K38" s="928">
        <v>5880000</v>
      </c>
      <c r="L38" s="929" t="s">
        <v>83</v>
      </c>
      <c r="M38" s="929" t="s">
        <v>256</v>
      </c>
      <c r="N38" s="52" t="str">
        <f>IF(AND('331-CT'!$E$7=TH!H38,OR(L38="331",M38="331")),"331",IF(AND(OR(L38="131",M38="131"),H38='131-CT'!$E$7),"131",""))</f>
        <v/>
      </c>
      <c r="O38" s="89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23">
        <f t="shared" si="1"/>
        <v>41790</v>
      </c>
      <c r="D39" s="923" t="s">
        <v>327</v>
      </c>
      <c r="E39" s="923">
        <v>41790</v>
      </c>
      <c r="F39" s="924" t="s">
        <v>1368</v>
      </c>
      <c r="G39" s="925"/>
      <c r="H39" s="926"/>
      <c r="I39" s="927"/>
      <c r="J39" s="927"/>
      <c r="K39" s="928">
        <v>5180000</v>
      </c>
      <c r="L39" s="929" t="s">
        <v>167</v>
      </c>
      <c r="M39" s="929" t="s">
        <v>256</v>
      </c>
      <c r="N39" s="52" t="str">
        <f>IF(AND('331-CT'!$E$7=TH!H39,OR(L39="331",M39="331")),"331",IF(AND(OR(L39="131",M39="131"),H39='131-CT'!$E$7),"131",""))</f>
        <v/>
      </c>
      <c r="O39" s="89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23">
        <f t="shared" si="1"/>
        <v>41790</v>
      </c>
      <c r="D40" s="923" t="s">
        <v>327</v>
      </c>
      <c r="E40" s="923">
        <v>41790</v>
      </c>
      <c r="F40" s="924" t="str">
        <f t="shared" ref="F40" si="9">"Thanh toán tiền lương tháng "&amp;MONTH(E40)&amp;"/"&amp;YEAR(E40)</f>
        <v>Thanh toán tiền lương tháng 5/2014</v>
      </c>
      <c r="G40" s="925"/>
      <c r="H40" s="926"/>
      <c r="I40" s="927"/>
      <c r="J40" s="927"/>
      <c r="K40" s="928">
        <f t="shared" ref="K40" si="10">K38+K39</f>
        <v>11060000</v>
      </c>
      <c r="L40" s="929" t="s">
        <v>256</v>
      </c>
      <c r="M40" s="929" t="s">
        <v>47</v>
      </c>
      <c r="N40" s="52" t="str">
        <f>IF(AND('331-CT'!$E$7=TH!H40,OR(L40="331",M40="331")),"331",IF(AND(OR(L40="131",M40="131"),H40='131-CT'!$E$7),"131",""))</f>
        <v/>
      </c>
      <c r="O40" s="896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23">
        <f t="shared" si="1"/>
        <v>41820</v>
      </c>
      <c r="D41" s="923" t="s">
        <v>327</v>
      </c>
      <c r="E41" s="923">
        <v>41820</v>
      </c>
      <c r="F41" s="924" t="s">
        <v>1367</v>
      </c>
      <c r="G41" s="925"/>
      <c r="H41" s="926"/>
      <c r="I41" s="927"/>
      <c r="J41" s="927"/>
      <c r="K41" s="928">
        <v>5850000</v>
      </c>
      <c r="L41" s="929" t="s">
        <v>83</v>
      </c>
      <c r="M41" s="929" t="s">
        <v>256</v>
      </c>
      <c r="N41" s="52" t="str">
        <f>IF(AND('331-CT'!$E$7=TH!H41,OR(L41="331",M41="331")),"331",IF(AND(OR(L41="131",M41="131"),H41='131-CT'!$E$7),"131",""))</f>
        <v/>
      </c>
      <c r="O41" s="89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23">
        <f t="shared" si="1"/>
        <v>41820</v>
      </c>
      <c r="D42" s="923" t="s">
        <v>327</v>
      </c>
      <c r="E42" s="923">
        <v>41820</v>
      </c>
      <c r="F42" s="924" t="s">
        <v>1368</v>
      </c>
      <c r="G42" s="925"/>
      <c r="H42" s="926"/>
      <c r="I42" s="927"/>
      <c r="J42" s="927"/>
      <c r="K42" s="928">
        <v>5150000</v>
      </c>
      <c r="L42" s="929" t="s">
        <v>167</v>
      </c>
      <c r="M42" s="929" t="s">
        <v>256</v>
      </c>
      <c r="N42" s="52" t="str">
        <f>IF(AND('331-CT'!$E$7=TH!H42,OR(L42="331",M42="331")),"331",IF(AND(OR(L42="131",M42="131"),H42='131-CT'!$E$7),"131",""))</f>
        <v/>
      </c>
      <c r="O42" s="89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23">
        <f t="shared" si="1"/>
        <v>41820</v>
      </c>
      <c r="D43" s="923" t="s">
        <v>327</v>
      </c>
      <c r="E43" s="923">
        <v>41820</v>
      </c>
      <c r="F43" s="924" t="str">
        <f t="shared" ref="F43:F52" si="11">"Thanh toán tiền lương tháng "&amp;MONTH(E43)&amp;"/"&amp;YEAR(E43)</f>
        <v>Thanh toán tiền lương tháng 6/2014</v>
      </c>
      <c r="G43" s="925"/>
      <c r="H43" s="926"/>
      <c r="I43" s="927"/>
      <c r="J43" s="927"/>
      <c r="K43" s="928">
        <f t="shared" ref="K43" si="12">K41+K42</f>
        <v>11000000</v>
      </c>
      <c r="L43" s="929" t="s">
        <v>256</v>
      </c>
      <c r="M43" s="929" t="s">
        <v>47</v>
      </c>
      <c r="N43" s="52" t="str">
        <f>IF(AND('331-CT'!$E$7=TH!H43,OR(L43="331",M43="331")),"331",IF(AND(OR(L43="131",M43="131"),H43='131-CT'!$E$7),"131",""))</f>
        <v/>
      </c>
      <c r="O43" s="896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23">
        <f t="shared" si="1"/>
        <v>41851</v>
      </c>
      <c r="D44" s="923" t="s">
        <v>327</v>
      </c>
      <c r="E44" s="923">
        <v>41851</v>
      </c>
      <c r="F44" s="924" t="s">
        <v>1367</v>
      </c>
      <c r="G44" s="925"/>
      <c r="H44" s="926"/>
      <c r="I44" s="927"/>
      <c r="J44" s="927"/>
      <c r="K44" s="928">
        <v>15215000</v>
      </c>
      <c r="L44" s="929" t="s">
        <v>83</v>
      </c>
      <c r="M44" s="929" t="s">
        <v>256</v>
      </c>
      <c r="N44" s="52" t="str">
        <f>IF(AND('331-CT'!$E$7=TH!H44,OR(L44="331",M44="331")),"331",IF(AND(OR(L44="131",M44="131"),H44='131-CT'!$E$7),"131",""))</f>
        <v/>
      </c>
      <c r="O44" s="89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23">
        <f t="shared" si="1"/>
        <v>41851</v>
      </c>
      <c r="D45" s="923" t="s">
        <v>327</v>
      </c>
      <c r="E45" s="923">
        <v>41851</v>
      </c>
      <c r="F45" s="924" t="s">
        <v>1368</v>
      </c>
      <c r="G45" s="925"/>
      <c r="H45" s="926"/>
      <c r="I45" s="927"/>
      <c r="J45" s="927"/>
      <c r="K45" s="928">
        <v>31135000</v>
      </c>
      <c r="L45" s="929" t="s">
        <v>167</v>
      </c>
      <c r="M45" s="929" t="s">
        <v>256</v>
      </c>
      <c r="N45" s="52" t="str">
        <f>IF(AND('331-CT'!$E$7=TH!H45,OR(L45="331",M45="331")),"331",IF(AND(OR(L45="131",M45="131"),H45='131-CT'!$E$7),"131",""))</f>
        <v/>
      </c>
      <c r="O45" s="89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23">
        <f t="shared" si="1"/>
        <v>41851</v>
      </c>
      <c r="D46" s="923" t="s">
        <v>327</v>
      </c>
      <c r="E46" s="923">
        <v>41851</v>
      </c>
      <c r="F46" s="924" t="str">
        <f t="shared" si="11"/>
        <v>Thanh toán tiền lương tháng 7/2014</v>
      </c>
      <c r="G46" s="925"/>
      <c r="H46" s="926"/>
      <c r="I46" s="927"/>
      <c r="J46" s="927"/>
      <c r="K46" s="928">
        <f t="shared" ref="K46" si="13">K44+K45</f>
        <v>46350000</v>
      </c>
      <c r="L46" s="929" t="s">
        <v>256</v>
      </c>
      <c r="M46" s="929" t="s">
        <v>47</v>
      </c>
      <c r="N46" s="52" t="str">
        <f>IF(AND('331-CT'!$E$7=TH!H46,OR(L46="331",M46="331")),"331",IF(AND(OR(L46="131",M46="131"),H46='131-CT'!$E$7),"131",""))</f>
        <v/>
      </c>
      <c r="O46" s="896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23">
        <f t="shared" si="1"/>
        <v>41882</v>
      </c>
      <c r="D47" s="923" t="s">
        <v>327</v>
      </c>
      <c r="E47" s="923">
        <v>41882</v>
      </c>
      <c r="F47" s="924" t="s">
        <v>1367</v>
      </c>
      <c r="G47" s="925"/>
      <c r="H47" s="926"/>
      <c r="I47" s="927"/>
      <c r="J47" s="927"/>
      <c r="K47" s="928">
        <v>15170000</v>
      </c>
      <c r="L47" s="929" t="s">
        <v>83</v>
      </c>
      <c r="M47" s="929" t="s">
        <v>256</v>
      </c>
      <c r="N47" s="52" t="str">
        <f>IF(AND('331-CT'!$E$7=TH!H47,OR(L47="331",M47="331")),"331",IF(AND(OR(L47="131",M47="131"),H47='131-CT'!$E$7),"131",""))</f>
        <v/>
      </c>
      <c r="O47" s="89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23">
        <f t="shared" si="1"/>
        <v>41882</v>
      </c>
      <c r="D48" s="923" t="s">
        <v>327</v>
      </c>
      <c r="E48" s="923">
        <v>41882</v>
      </c>
      <c r="F48" s="924" t="s">
        <v>1368</v>
      </c>
      <c r="G48" s="925"/>
      <c r="H48" s="926"/>
      <c r="I48" s="927"/>
      <c r="J48" s="927"/>
      <c r="K48" s="928">
        <v>31030000</v>
      </c>
      <c r="L48" s="929" t="s">
        <v>167</v>
      </c>
      <c r="M48" s="929" t="s">
        <v>256</v>
      </c>
      <c r="N48" s="52" t="str">
        <f>IF(AND('331-CT'!$E$7=TH!H48,OR(L48="331",M48="331")),"331",IF(AND(OR(L48="131",M48="131"),H48='131-CT'!$E$7),"131",""))</f>
        <v/>
      </c>
      <c r="O48" s="89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23">
        <f t="shared" si="1"/>
        <v>41882</v>
      </c>
      <c r="D49" s="923" t="s">
        <v>327</v>
      </c>
      <c r="E49" s="923">
        <v>41882</v>
      </c>
      <c r="F49" s="924" t="str">
        <f t="shared" si="11"/>
        <v>Thanh toán tiền lương tháng 8/2014</v>
      </c>
      <c r="G49" s="925"/>
      <c r="H49" s="926"/>
      <c r="I49" s="927"/>
      <c r="J49" s="927"/>
      <c r="K49" s="928">
        <f t="shared" ref="K49" si="14">K47+K48</f>
        <v>46200000</v>
      </c>
      <c r="L49" s="929" t="s">
        <v>256</v>
      </c>
      <c r="M49" s="929" t="s">
        <v>47</v>
      </c>
      <c r="N49" s="52" t="str">
        <f>IF(AND('331-CT'!$E$7=TH!H49,OR(L49="331",M49="331")),"331",IF(AND(OR(L49="131",M49="131"),H49='131-CT'!$E$7),"131",""))</f>
        <v/>
      </c>
      <c r="O49" s="896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23">
        <f t="shared" si="1"/>
        <v>41912</v>
      </c>
      <c r="D50" s="923" t="s">
        <v>327</v>
      </c>
      <c r="E50" s="923">
        <v>41912</v>
      </c>
      <c r="F50" s="924" t="s">
        <v>1367</v>
      </c>
      <c r="G50" s="925"/>
      <c r="H50" s="926"/>
      <c r="I50" s="927"/>
      <c r="J50" s="927"/>
      <c r="K50" s="928">
        <v>15125000</v>
      </c>
      <c r="L50" s="929" t="s">
        <v>83</v>
      </c>
      <c r="M50" s="929" t="s">
        <v>256</v>
      </c>
      <c r="N50" s="52" t="str">
        <f>IF(AND('331-CT'!$E$7=TH!H50,OR(L50="331",M50="331")),"331",IF(AND(OR(L50="131",M50="131"),H50='131-CT'!$E$7),"131",""))</f>
        <v/>
      </c>
      <c r="O50" s="89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23">
        <f t="shared" si="1"/>
        <v>41912</v>
      </c>
      <c r="D51" s="923" t="s">
        <v>327</v>
      </c>
      <c r="E51" s="923">
        <v>41912</v>
      </c>
      <c r="F51" s="924" t="s">
        <v>1368</v>
      </c>
      <c r="G51" s="925"/>
      <c r="H51" s="926"/>
      <c r="I51" s="927"/>
      <c r="J51" s="927"/>
      <c r="K51" s="928">
        <v>30925000</v>
      </c>
      <c r="L51" s="929" t="s">
        <v>167</v>
      </c>
      <c r="M51" s="929" t="s">
        <v>256</v>
      </c>
      <c r="N51" s="52" t="str">
        <f>IF(AND('331-CT'!$E$7=TH!H51,OR(L51="331",M51="331")),"331",IF(AND(OR(L51="131",M51="131"),H51='131-CT'!$E$7),"131",""))</f>
        <v/>
      </c>
      <c r="O51" s="89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23">
        <f t="shared" si="1"/>
        <v>41912</v>
      </c>
      <c r="D52" s="923" t="s">
        <v>327</v>
      </c>
      <c r="E52" s="923">
        <v>41912</v>
      </c>
      <c r="F52" s="924" t="str">
        <f t="shared" si="11"/>
        <v>Thanh toán tiền lương tháng 9/2014</v>
      </c>
      <c r="G52" s="925"/>
      <c r="H52" s="926"/>
      <c r="I52" s="927"/>
      <c r="J52" s="927"/>
      <c r="K52" s="928">
        <f t="shared" ref="K52" si="15">K50+K51</f>
        <v>46050000</v>
      </c>
      <c r="L52" s="929" t="s">
        <v>256</v>
      </c>
      <c r="M52" s="929" t="s">
        <v>47</v>
      </c>
      <c r="N52" s="52" t="str">
        <f>IF(AND('331-CT'!$E$7=TH!H52,OR(L52="331",M52="331")),"331",IF(AND(OR(L52="131",M52="131"),H52='131-CT'!$E$7),"131",""))</f>
        <v/>
      </c>
      <c r="O52" s="896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23">
        <f t="shared" si="1"/>
        <v>41943</v>
      </c>
      <c r="D53" s="923" t="s">
        <v>327</v>
      </c>
      <c r="E53" s="923">
        <v>41943</v>
      </c>
      <c r="F53" s="924" t="s">
        <v>1367</v>
      </c>
      <c r="G53" s="925"/>
      <c r="H53" s="926"/>
      <c r="I53" s="927"/>
      <c r="J53" s="927"/>
      <c r="K53" s="928">
        <v>15215000</v>
      </c>
      <c r="L53" s="929" t="s">
        <v>83</v>
      </c>
      <c r="M53" s="929" t="s">
        <v>256</v>
      </c>
      <c r="N53" s="52" t="str">
        <f>IF(AND('331-CT'!$E$7=TH!H53,OR(L53="331",M53="331")),"331",IF(AND(OR(L53="131",M53="131"),H53='131-CT'!$E$7),"131",""))</f>
        <v/>
      </c>
      <c r="O53" s="89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23">
        <f t="shared" si="1"/>
        <v>41943</v>
      </c>
      <c r="D54" s="923" t="s">
        <v>327</v>
      </c>
      <c r="E54" s="923">
        <v>41943</v>
      </c>
      <c r="F54" s="924" t="s">
        <v>1368</v>
      </c>
      <c r="G54" s="925"/>
      <c r="H54" s="926"/>
      <c r="I54" s="927"/>
      <c r="J54" s="927"/>
      <c r="K54" s="928">
        <v>31135000</v>
      </c>
      <c r="L54" s="929" t="s">
        <v>167</v>
      </c>
      <c r="M54" s="929" t="s">
        <v>256</v>
      </c>
      <c r="N54" s="52" t="str">
        <f>IF(AND('331-CT'!$E$7=TH!H54,OR(L54="331",M54="331")),"331",IF(AND(OR(L54="131",M54="131"),H54='131-CT'!$E$7),"131",""))</f>
        <v/>
      </c>
      <c r="O54" s="89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IF(B55&lt;&gt;"",IF(AND(B55&gt;=_TM1,B55&lt;=_TM2,OR([2]TH!L55="1111",[2]TH!M55="1111")),[2]TH!D55,""),"")</f>
        <v/>
      </c>
      <c r="B55" s="36">
        <f t="shared" si="0"/>
        <v>10</v>
      </c>
      <c r="C55" s="923">
        <f t="shared" si="1"/>
        <v>41943</v>
      </c>
      <c r="D55" s="923" t="s">
        <v>327</v>
      </c>
      <c r="E55" s="923">
        <v>41943</v>
      </c>
      <c r="F55" s="924" t="str">
        <f t="shared" ref="F55:F61" si="16">"Thanh toán tiền lương tháng "&amp;MONTH(E55)&amp;"/"&amp;YEAR(E55)</f>
        <v>Thanh toán tiền lương tháng 10/2014</v>
      </c>
      <c r="G55" s="925"/>
      <c r="H55" s="926"/>
      <c r="I55" s="927"/>
      <c r="J55" s="927"/>
      <c r="K55" s="928">
        <f t="shared" ref="K55" si="17">K53+K54</f>
        <v>46350000</v>
      </c>
      <c r="L55" s="929" t="s">
        <v>256</v>
      </c>
      <c r="M55" s="929" t="s">
        <v>47</v>
      </c>
      <c r="N55" s="52" t="str">
        <f>IF(AND('331-CT'!$E$7=TH!H55,OR(L55="331",M55="331")),"331",IF(AND(OR(L55="131",M55="131"),H55='131-CT'!$E$7),"131",""))</f>
        <v/>
      </c>
      <c r="O55" s="89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23">
        <f t="shared" si="1"/>
        <v>41973</v>
      </c>
      <c r="D56" s="923" t="s">
        <v>327</v>
      </c>
      <c r="E56" s="923">
        <v>41973</v>
      </c>
      <c r="F56" s="924" t="s">
        <v>1367</v>
      </c>
      <c r="G56" s="925"/>
      <c r="H56" s="926"/>
      <c r="I56" s="927"/>
      <c r="J56" s="927"/>
      <c r="K56" s="928">
        <v>15125000</v>
      </c>
      <c r="L56" s="929" t="s">
        <v>83</v>
      </c>
      <c r="M56" s="929" t="s">
        <v>256</v>
      </c>
      <c r="N56" s="52" t="str">
        <f>IF(AND('331-CT'!$E$7=TH!H56,OR(L56="331",M56="331")),"331",IF(AND(OR(L56="131",M56="131"),H56='131-CT'!$E$7),"131",""))</f>
        <v/>
      </c>
      <c r="O56" s="89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23">
        <f t="shared" si="1"/>
        <v>41973</v>
      </c>
      <c r="D57" s="923" t="s">
        <v>327</v>
      </c>
      <c r="E57" s="923">
        <v>41973</v>
      </c>
      <c r="F57" s="924" t="s">
        <v>1368</v>
      </c>
      <c r="G57" s="925"/>
      <c r="H57" s="926"/>
      <c r="I57" s="927"/>
      <c r="J57" s="927"/>
      <c r="K57" s="928">
        <v>30925000</v>
      </c>
      <c r="L57" s="929" t="s">
        <v>167</v>
      </c>
      <c r="M57" s="929" t="s">
        <v>256</v>
      </c>
      <c r="N57" s="52" t="str">
        <f>IF(AND('331-CT'!$E$7=TH!H57,OR(L57="331",M57="331")),"331",IF(AND(OR(L57="131",M57="131"),H57='131-CT'!$E$7),"131",""))</f>
        <v/>
      </c>
      <c r="O57" s="89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IF(B58&lt;&gt;"",IF(AND(B58&gt;=_TM1,B58&lt;=_TM2,OR([2]TH!L58="1111",[2]TH!M58="1111")),[2]TH!D58,""),"")</f>
        <v>NL/N04</v>
      </c>
      <c r="B58" s="36">
        <f t="shared" si="0"/>
        <v>11</v>
      </c>
      <c r="C58" s="923">
        <f t="shared" si="1"/>
        <v>41973</v>
      </c>
      <c r="D58" s="923" t="s">
        <v>327</v>
      </c>
      <c r="E58" s="923">
        <v>41973</v>
      </c>
      <c r="F58" s="924" t="str">
        <f t="shared" si="16"/>
        <v>Thanh toán tiền lương tháng 11/2014</v>
      </c>
      <c r="G58" s="925"/>
      <c r="H58" s="926"/>
      <c r="I58" s="927"/>
      <c r="J58" s="927"/>
      <c r="K58" s="928">
        <f t="shared" ref="K58" si="18">K56+K57</f>
        <v>46050000</v>
      </c>
      <c r="L58" s="929" t="s">
        <v>256</v>
      </c>
      <c r="M58" s="929" t="s">
        <v>47</v>
      </c>
      <c r="N58" s="52" t="str">
        <f>IF(AND('331-CT'!$E$7=TH!H58,OR(L58="331",M58="331")),"331",IF(AND(OR(L58="131",M58="131"),H58='131-CT'!$E$7),"131",""))</f>
        <v/>
      </c>
      <c r="O58" s="89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23">
        <f t="shared" si="1"/>
        <v>42004</v>
      </c>
      <c r="D59" s="923" t="s">
        <v>327</v>
      </c>
      <c r="E59" s="923">
        <v>42004</v>
      </c>
      <c r="F59" s="924" t="s">
        <v>1367</v>
      </c>
      <c r="G59" s="925"/>
      <c r="H59" s="926"/>
      <c r="I59" s="927"/>
      <c r="J59" s="927"/>
      <c r="K59" s="928">
        <v>15215000</v>
      </c>
      <c r="L59" s="929" t="s">
        <v>83</v>
      </c>
      <c r="M59" s="929" t="s">
        <v>256</v>
      </c>
      <c r="N59" s="52" t="str">
        <f>IF(AND('331-CT'!$E$7=TH!H59,OR(L59="331",M59="331")),"331",IF(AND(OR(L59="131",M59="131"),H59='131-CT'!$E$7),"131",""))</f>
        <v/>
      </c>
      <c r="O59" s="89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23">
        <f t="shared" si="1"/>
        <v>42004</v>
      </c>
      <c r="D60" s="923" t="s">
        <v>327</v>
      </c>
      <c r="E60" s="923">
        <v>42004</v>
      </c>
      <c r="F60" s="924" t="s">
        <v>1368</v>
      </c>
      <c r="G60" s="925"/>
      <c r="H60" s="926"/>
      <c r="I60" s="927"/>
      <c r="J60" s="927"/>
      <c r="K60" s="928">
        <v>31135000</v>
      </c>
      <c r="L60" s="929" t="s">
        <v>167</v>
      </c>
      <c r="M60" s="929" t="s">
        <v>256</v>
      </c>
      <c r="N60" s="52" t="str">
        <f>IF(AND('331-CT'!$E$7=TH!H60,OR(L60="331",M60="331")),"331",IF(AND(OR(L60="131",M60="131"),H60='131-CT'!$E$7),"131",""))</f>
        <v/>
      </c>
      <c r="O60" s="89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IF(B61&lt;&gt;"",IF(AND(B61&gt;=_TM1,B61&lt;=_TM2,OR([2]TH!L61="1111",[2]TH!M61="1111")),[2]TH!D61,""),"")</f>
        <v/>
      </c>
      <c r="B61" s="36">
        <f t="shared" si="0"/>
        <v>12</v>
      </c>
      <c r="C61" s="923">
        <f t="shared" si="1"/>
        <v>42004</v>
      </c>
      <c r="D61" s="923" t="s">
        <v>327</v>
      </c>
      <c r="E61" s="923">
        <v>42004</v>
      </c>
      <c r="F61" s="924" t="str">
        <f t="shared" si="16"/>
        <v>Thanh toán tiền lương tháng 12/2014</v>
      </c>
      <c r="G61" s="925"/>
      <c r="H61" s="926"/>
      <c r="I61" s="927"/>
      <c r="J61" s="927"/>
      <c r="K61" s="928">
        <f>K59+K60</f>
        <v>46350000</v>
      </c>
      <c r="L61" s="929" t="s">
        <v>256</v>
      </c>
      <c r="M61" s="929" t="s">
        <v>47</v>
      </c>
      <c r="N61" s="52" t="str">
        <f>IF(AND('331-CT'!$E$7=TH!H61,OR(L61="331",M61="331")),"331",IF(AND(OR(L61="131",M61="131"),H61='131-CT'!$E$7),"131",""))</f>
        <v/>
      </c>
      <c r="O61" s="89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60" customFormat="1" ht="15.75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41645</v>
      </c>
      <c r="D62" s="184" t="s">
        <v>912</v>
      </c>
      <c r="E62" s="184">
        <v>41645</v>
      </c>
      <c r="F62" s="189" t="s">
        <v>418</v>
      </c>
      <c r="G62" s="570" t="s">
        <v>419</v>
      </c>
      <c r="H62" s="7" t="s">
        <v>420</v>
      </c>
      <c r="I62" s="256">
        <v>2110</v>
      </c>
      <c r="J62" s="256">
        <v>5300</v>
      </c>
      <c r="K62" s="568">
        <f>ROUND(I62*J62,0)</f>
        <v>11183000</v>
      </c>
      <c r="L62" s="569" t="s">
        <v>253</v>
      </c>
      <c r="M62" s="569" t="s">
        <v>177</v>
      </c>
      <c r="N62" s="52" t="str">
        <f>IF(AND('331-CT'!$E$7=TH!H62,OR(L62="331",M62="331")),"331",IF(AND(OR(L62="131",M62="131"),H62='131-CT'!$E$7),"131",""))</f>
        <v/>
      </c>
      <c r="O62" s="89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15"/>
      <c r="AC62" s="211" t="str">
        <f>IF(F62=VLOOKUP(F62,NXT!$C$12:$C$345,1,0),"","x")</f>
        <v/>
      </c>
    </row>
    <row r="63" spans="1:29" s="560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912</v>
      </c>
      <c r="E63" s="184">
        <v>41645</v>
      </c>
      <c r="F63" s="189" t="s">
        <v>421</v>
      </c>
      <c r="G63" s="570" t="s">
        <v>419</v>
      </c>
      <c r="H63" s="7" t="s">
        <v>420</v>
      </c>
      <c r="I63" s="256"/>
      <c r="J63" s="256"/>
      <c r="K63" s="568">
        <v>1118300</v>
      </c>
      <c r="L63" s="569" t="s">
        <v>253</v>
      </c>
      <c r="M63" s="569" t="s">
        <v>365</v>
      </c>
      <c r="N63" s="52" t="str">
        <f>IF(AND('331-CT'!$E$7=TH!H63,OR(L63="331",M63="331")),"331",IF(AND(OR(L63="131",M63="131"),H63='131-CT'!$E$7),"131",""))</f>
        <v/>
      </c>
      <c r="O63" s="89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15"/>
      <c r="AC63" s="560" t="str">
        <f>IF(VLOOKUP(H63,DS_131,1,0)&lt;&gt;"","","x")</f>
        <v/>
      </c>
    </row>
    <row r="64" spans="1:29" s="560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41645</v>
      </c>
      <c r="D64" s="184" t="s">
        <v>913</v>
      </c>
      <c r="E64" s="184">
        <v>41645</v>
      </c>
      <c r="F64" s="189" t="s">
        <v>422</v>
      </c>
      <c r="G64" s="570" t="s">
        <v>423</v>
      </c>
      <c r="H64" s="7" t="s">
        <v>908</v>
      </c>
      <c r="I64" s="256">
        <v>500</v>
      </c>
      <c r="J64" s="256">
        <v>17300</v>
      </c>
      <c r="K64" s="568">
        <f>ROUND(I64*J64,0)</f>
        <v>8650000</v>
      </c>
      <c r="L64" s="569" t="s">
        <v>253</v>
      </c>
      <c r="M64" s="569" t="s">
        <v>177</v>
      </c>
      <c r="N64" s="52" t="str">
        <f>IF(AND('331-CT'!$E$7=TH!H64,OR(L64="331",M64="331")),"331",IF(AND(OR(L64="131",M64="131"),H64='131-CT'!$E$7),"131",""))</f>
        <v/>
      </c>
      <c r="O64" s="89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15"/>
      <c r="AC64" s="211" t="str">
        <f>IF(F64=VLOOKUP(F64,NXT!$C$12:$C$345,1,0),"","x")</f>
        <v/>
      </c>
    </row>
    <row r="65" spans="1:31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913</v>
      </c>
      <c r="E65" s="37">
        <v>41645</v>
      </c>
      <c r="F65" s="40" t="s">
        <v>446</v>
      </c>
      <c r="G65" s="628" t="s">
        <v>423</v>
      </c>
      <c r="H65" s="7" t="s">
        <v>908</v>
      </c>
      <c r="I65" s="256">
        <v>1000</v>
      </c>
      <c r="J65" s="256">
        <v>1500</v>
      </c>
      <c r="K65" s="568">
        <f>ROUND(I65*J65,0)</f>
        <v>1500000</v>
      </c>
      <c r="L65" s="569" t="s">
        <v>253</v>
      </c>
      <c r="M65" s="569" t="s">
        <v>177</v>
      </c>
      <c r="N65" s="52" t="str">
        <f>IF(AND('331-CT'!$E$7=TH!H65,OR(L65="331",M65="331")),"331",IF(AND(OR(L65="131",M65="131"),H65='131-CT'!$E$7),"131",""))</f>
        <v/>
      </c>
      <c r="O65" s="89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15"/>
      <c r="AC65" s="211" t="str">
        <f>IF(F65=VLOOKUP(F65,NXT!$C$12:$C$345,1,0),"","x")</f>
        <v/>
      </c>
      <c r="AD65" s="560"/>
      <c r="AE65" s="560"/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913</v>
      </c>
      <c r="E66" s="37">
        <v>41645</v>
      </c>
      <c r="F66" s="189" t="s">
        <v>421</v>
      </c>
      <c r="G66" s="628" t="s">
        <v>423</v>
      </c>
      <c r="H66" s="7" t="s">
        <v>908</v>
      </c>
      <c r="I66" s="256"/>
      <c r="J66" s="256"/>
      <c r="K66" s="38">
        <v>1015000</v>
      </c>
      <c r="L66" s="569" t="s">
        <v>253</v>
      </c>
      <c r="M66" s="569" t="s">
        <v>365</v>
      </c>
      <c r="N66" s="52" t="str">
        <f>IF(AND('331-CT'!$E$7=TH!H66,OR(L66="331",M66="331")),"331",IF(AND(OR(L66="131",M66="131"),H66='131-CT'!$E$7),"131",""))</f>
        <v/>
      </c>
      <c r="O66" s="89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15"/>
      <c r="AC66" s="560" t="str">
        <f>IF(VLOOKUP(H66,DS_131,1,0)&lt;&gt;"","","x")</f>
        <v/>
      </c>
      <c r="AD66" s="560"/>
      <c r="AE66" s="560"/>
    </row>
    <row r="67" spans="1:31" s="560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41664</v>
      </c>
      <c r="D67" s="184" t="s">
        <v>914</v>
      </c>
      <c r="E67" s="37">
        <v>41664</v>
      </c>
      <c r="F67" s="189" t="s">
        <v>424</v>
      </c>
      <c r="G67" s="465" t="s">
        <v>425</v>
      </c>
      <c r="H67" s="7" t="s">
        <v>426</v>
      </c>
      <c r="I67" s="256">
        <v>510</v>
      </c>
      <c r="J67" s="256">
        <v>10300</v>
      </c>
      <c r="K67" s="568">
        <f>ROUND(I67*J67,0)</f>
        <v>5253000</v>
      </c>
      <c r="L67" s="569" t="s">
        <v>253</v>
      </c>
      <c r="M67" s="569" t="s">
        <v>177</v>
      </c>
      <c r="N67" s="52" t="str">
        <f>IF(AND('331-CT'!$E$7=TH!H67,OR(L67="331",M67="331")),"331",IF(AND(OR(L67="131",M67="131"),H67='131-CT'!$E$7),"131",""))</f>
        <v>131</v>
      </c>
      <c r="O67" s="89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15"/>
      <c r="AC67" s="211" t="str">
        <f>IF(F67=VLOOKUP(F67,NXT!$C$12:$C$345,1,0),"","x")</f>
        <v/>
      </c>
    </row>
    <row r="68" spans="1:31" s="560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914</v>
      </c>
      <c r="E68" s="37">
        <v>41664</v>
      </c>
      <c r="F68" s="189" t="s">
        <v>421</v>
      </c>
      <c r="G68" s="465" t="s">
        <v>425</v>
      </c>
      <c r="H68" s="7" t="s">
        <v>426</v>
      </c>
      <c r="I68" s="256"/>
      <c r="J68" s="256"/>
      <c r="K68" s="38">
        <v>525300</v>
      </c>
      <c r="L68" s="569" t="s">
        <v>253</v>
      </c>
      <c r="M68" s="569" t="s">
        <v>365</v>
      </c>
      <c r="N68" s="52" t="str">
        <f>IF(AND('331-CT'!$E$7=TH!H68,OR(L68="331",M68="331")),"331",IF(AND(OR(L68="131",M68="131"),H68='131-CT'!$E$7),"131",""))</f>
        <v>131</v>
      </c>
      <c r="O68" s="89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15"/>
      <c r="AC68" s="560" t="str">
        <f>IF(VLOOKUP(H68,DS_131,1,0)&lt;&gt;"","","x")</f>
        <v/>
      </c>
    </row>
    <row r="69" spans="1:31" s="560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915</v>
      </c>
      <c r="E69" s="37">
        <v>41664</v>
      </c>
      <c r="F69" s="40" t="s">
        <v>427</v>
      </c>
      <c r="G69" s="465" t="s">
        <v>428</v>
      </c>
      <c r="H69" s="7" t="s">
        <v>909</v>
      </c>
      <c r="I69" s="256">
        <v>563</v>
      </c>
      <c r="J69" s="256">
        <v>12900</v>
      </c>
      <c r="K69" s="568">
        <f>ROUND(I69*J69,0)</f>
        <v>7262700</v>
      </c>
      <c r="L69" s="569" t="s">
        <v>253</v>
      </c>
      <c r="M69" s="569" t="s">
        <v>177</v>
      </c>
      <c r="N69" s="52" t="str">
        <f>IF(AND('331-CT'!$E$7=TH!H69,OR(L69="331",M69="331")),"331",IF(AND(OR(L69="131",M69="131"),H69='131-CT'!$E$7),"131",""))</f>
        <v/>
      </c>
      <c r="O69" s="89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15"/>
      <c r="AC69" s="211" t="str">
        <f>IF(F69=VLOOKUP(F69,NXT!$C$12:$C$345,1,0),"","x")</f>
        <v/>
      </c>
    </row>
    <row r="70" spans="1:31" s="560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41664</v>
      </c>
      <c r="D70" s="184" t="s">
        <v>915</v>
      </c>
      <c r="E70" s="37">
        <v>41664</v>
      </c>
      <c r="F70" s="40" t="s">
        <v>429</v>
      </c>
      <c r="G70" s="465" t="s">
        <v>428</v>
      </c>
      <c r="H70" s="7" t="s">
        <v>909</v>
      </c>
      <c r="I70" s="256">
        <v>234</v>
      </c>
      <c r="J70" s="256">
        <v>9800</v>
      </c>
      <c r="K70" s="568">
        <f>ROUND(I70*J70,0)</f>
        <v>2293200</v>
      </c>
      <c r="L70" s="569" t="s">
        <v>253</v>
      </c>
      <c r="M70" s="569" t="s">
        <v>177</v>
      </c>
      <c r="N70" s="52" t="str">
        <f>IF(AND('331-CT'!$E$7=TH!H70,OR(L70="331",M70="331")),"331",IF(AND(OR(L70="131",M70="131"),H70='131-CT'!$E$7),"131",""))</f>
        <v/>
      </c>
      <c r="O70" s="89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15"/>
      <c r="AC70" s="211" t="str">
        <f>IF(F70=VLOOKUP(F70,NXT!$C$12:$C$345,1,0),"","x")</f>
        <v/>
      </c>
      <c r="AD70" s="211"/>
    </row>
    <row r="71" spans="1:31" s="560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915</v>
      </c>
      <c r="E71" s="37">
        <v>41664</v>
      </c>
      <c r="F71" s="40" t="s">
        <v>430</v>
      </c>
      <c r="G71" s="465" t="s">
        <v>428</v>
      </c>
      <c r="H71" s="7" t="s">
        <v>909</v>
      </c>
      <c r="I71" s="256">
        <v>233</v>
      </c>
      <c r="J71" s="256">
        <v>6400</v>
      </c>
      <c r="K71" s="568">
        <f>ROUND(I71*J71,0)</f>
        <v>1491200</v>
      </c>
      <c r="L71" s="569" t="s">
        <v>253</v>
      </c>
      <c r="M71" s="569" t="s">
        <v>177</v>
      </c>
      <c r="N71" s="52" t="str">
        <f>IF(AND('331-CT'!$E$7=TH!H71,OR(L71="331",M71="331")),"331",IF(AND(OR(L71="131",M71="131"),H71='131-CT'!$E$7),"131",""))</f>
        <v/>
      </c>
      <c r="O71" s="89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15"/>
      <c r="AC71" s="211" t="str">
        <f>IF(F71=VLOOKUP(F71,NXT!$C$12:$C$345,1,0),"","x")</f>
        <v/>
      </c>
      <c r="AD71" s="211"/>
    </row>
    <row r="72" spans="1:31" s="560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915</v>
      </c>
      <c r="E72" s="184">
        <v>41664</v>
      </c>
      <c r="F72" s="189" t="s">
        <v>431</v>
      </c>
      <c r="G72" s="628" t="s">
        <v>428</v>
      </c>
      <c r="H72" s="7" t="s">
        <v>909</v>
      </c>
      <c r="I72" s="256">
        <v>308</v>
      </c>
      <c r="J72" s="256">
        <v>8600</v>
      </c>
      <c r="K72" s="568">
        <f>ROUND(I72*J72,0)</f>
        <v>2648800</v>
      </c>
      <c r="L72" s="569" t="s">
        <v>253</v>
      </c>
      <c r="M72" s="569" t="s">
        <v>177</v>
      </c>
      <c r="N72" s="52" t="str">
        <f>IF(AND('331-CT'!$E$7=TH!H72,OR(L72="331",M72="331")),"331",IF(AND(OR(L72="131",M72="131"),H72='131-CT'!$E$7),"131",""))</f>
        <v/>
      </c>
      <c r="O72" s="89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15"/>
      <c r="AC72" s="211" t="str">
        <f>IF(F72=VLOOKUP(F72,NXT!$C$12:$C$345,1,0),"","x")</f>
        <v/>
      </c>
      <c r="AD72" s="211"/>
    </row>
    <row r="73" spans="1:31" s="560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915</v>
      </c>
      <c r="E73" s="184">
        <v>41664</v>
      </c>
      <c r="F73" s="189" t="s">
        <v>421</v>
      </c>
      <c r="G73" s="628" t="s">
        <v>428</v>
      </c>
      <c r="H73" s="7" t="s">
        <v>909</v>
      </c>
      <c r="I73" s="256"/>
      <c r="J73" s="256"/>
      <c r="K73" s="568">
        <v>1369590</v>
      </c>
      <c r="L73" s="569" t="s">
        <v>253</v>
      </c>
      <c r="M73" s="569" t="s">
        <v>365</v>
      </c>
      <c r="N73" s="52" t="str">
        <f>IF(AND('331-CT'!$E$7=TH!H73,OR(L73="331",M73="331")),"331",IF(AND(OR(L73="131",M73="131"),H73='131-CT'!$E$7),"131",""))</f>
        <v/>
      </c>
      <c r="O73" s="89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15"/>
      <c r="AC73" s="560" t="str">
        <f>IF(VLOOKUP(H73,DS_131,1,0)&lt;&gt;"","","x")</f>
        <v/>
      </c>
      <c r="AD73" s="211"/>
    </row>
    <row r="74" spans="1:31" s="560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916</v>
      </c>
      <c r="E74" s="37">
        <v>41664</v>
      </c>
      <c r="F74" s="40" t="s">
        <v>432</v>
      </c>
      <c r="G74" s="465" t="s">
        <v>433</v>
      </c>
      <c r="H74" s="7" t="s">
        <v>910</v>
      </c>
      <c r="I74" s="256">
        <v>1038</v>
      </c>
      <c r="J74" s="256">
        <v>12000</v>
      </c>
      <c r="K74" s="568">
        <f>ROUND(I74*J74,0)</f>
        <v>12456000</v>
      </c>
      <c r="L74" s="569" t="s">
        <v>253</v>
      </c>
      <c r="M74" s="569" t="s">
        <v>177</v>
      </c>
      <c r="N74" s="52" t="str">
        <f>IF(AND('331-CT'!$E$7=TH!H74,OR(L74="331",M74="331")),"331",IF(AND(OR(L74="131",M74="131"),H74='131-CT'!$E$7),"131",""))</f>
        <v/>
      </c>
      <c r="O74" s="89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15"/>
      <c r="AC74" s="211" t="str">
        <f>IF(F74=VLOOKUP(F74,NXT!$C$12:$C$345,1,0),"","x")</f>
        <v/>
      </c>
    </row>
    <row r="75" spans="1:31" s="560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916</v>
      </c>
      <c r="E75" s="37">
        <v>41664</v>
      </c>
      <c r="F75" s="40" t="s">
        <v>421</v>
      </c>
      <c r="G75" s="465" t="s">
        <v>433</v>
      </c>
      <c r="H75" s="7" t="s">
        <v>910</v>
      </c>
      <c r="I75" s="256"/>
      <c r="J75" s="256"/>
      <c r="K75" s="38">
        <v>1245600</v>
      </c>
      <c r="L75" s="569" t="s">
        <v>253</v>
      </c>
      <c r="M75" s="569" t="s">
        <v>365</v>
      </c>
      <c r="N75" s="52" t="str">
        <f>IF(AND('331-CT'!$E$7=TH!H75,OR(L75="331",M75="331")),"331",IF(AND(OR(L75="131",M75="131"),H75='131-CT'!$E$7),"131",""))</f>
        <v/>
      </c>
      <c r="O75" s="89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15"/>
      <c r="AC75" s="560" t="str">
        <f>IF(VLOOKUP(H75,DS_131,1,0)&lt;&gt;"","","x")</f>
        <v/>
      </c>
    </row>
    <row r="76" spans="1:31" s="560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917</v>
      </c>
      <c r="E76" s="184">
        <v>41664</v>
      </c>
      <c r="F76" s="189" t="s">
        <v>434</v>
      </c>
      <c r="G76" s="628" t="s">
        <v>435</v>
      </c>
      <c r="H76" s="7" t="s">
        <v>436</v>
      </c>
      <c r="I76" s="256">
        <v>200</v>
      </c>
      <c r="J76" s="256">
        <v>21700</v>
      </c>
      <c r="K76" s="568">
        <f>ROUND(I76*J76,0)</f>
        <v>4340000</v>
      </c>
      <c r="L76" s="569" t="s">
        <v>253</v>
      </c>
      <c r="M76" s="569" t="s">
        <v>177</v>
      </c>
      <c r="N76" s="52" t="str">
        <f>IF(AND('331-CT'!$E$7=TH!H76,OR(L76="331",M76="331")),"331",IF(AND(OR(L76="131",M76="131"),H76='131-CT'!$E$7),"131",""))</f>
        <v/>
      </c>
      <c r="O76" s="89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15"/>
      <c r="AC76" s="211" t="str">
        <f>IF(F76=VLOOKUP(F76,NXT!$C$12:$C$345,1,0),"","x")</f>
        <v/>
      </c>
      <c r="AD76" s="211"/>
    </row>
    <row r="77" spans="1:31" s="560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917</v>
      </c>
      <c r="E77" s="184">
        <v>41664</v>
      </c>
      <c r="F77" s="189" t="s">
        <v>421</v>
      </c>
      <c r="G77" s="628" t="s">
        <v>435</v>
      </c>
      <c r="H77" s="7" t="s">
        <v>436</v>
      </c>
      <c r="I77" s="256"/>
      <c r="J77" s="256"/>
      <c r="K77" s="568">
        <v>434000</v>
      </c>
      <c r="L77" s="569" t="s">
        <v>253</v>
      </c>
      <c r="M77" s="569" t="s">
        <v>365</v>
      </c>
      <c r="N77" s="52" t="str">
        <f>IF(AND('331-CT'!$E$7=TH!H77,OR(L77="331",M77="331")),"331",IF(AND(OR(L77="131",M77="131"),H77='131-CT'!$E$7),"131",""))</f>
        <v/>
      </c>
      <c r="O77" s="89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15"/>
      <c r="AC77" s="560" t="str">
        <f>IF(VLOOKUP(H77,DS_131,1,0)&lt;&gt;"","","x")</f>
        <v/>
      </c>
      <c r="AD77" s="211"/>
    </row>
    <row r="78" spans="1:31" s="560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2</v>
      </c>
      <c r="C78" s="184">
        <f t="shared" si="20"/>
        <v>41684</v>
      </c>
      <c r="D78" s="184" t="s">
        <v>918</v>
      </c>
      <c r="E78" s="184">
        <v>41684</v>
      </c>
      <c r="F78" s="189" t="s">
        <v>437</v>
      </c>
      <c r="G78" s="628" t="s">
        <v>438</v>
      </c>
      <c r="H78" s="7" t="s">
        <v>439</v>
      </c>
      <c r="I78" s="256">
        <v>588</v>
      </c>
      <c r="J78" s="256">
        <v>10500</v>
      </c>
      <c r="K78" s="568">
        <f>ROUND(I78*J78,0)</f>
        <v>6174000</v>
      </c>
      <c r="L78" s="569" t="s">
        <v>253</v>
      </c>
      <c r="M78" s="569" t="s">
        <v>177</v>
      </c>
      <c r="N78" s="52" t="str">
        <f>IF(AND('331-CT'!$E$7=TH!H78,OR(L78="331",M78="331")),"331",IF(AND(OR(L78="131",M78="131"),H78='131-CT'!$E$7),"131",""))</f>
        <v/>
      </c>
      <c r="O78" s="89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15"/>
      <c r="AC78" s="211" t="str">
        <f>IF(F78=VLOOKUP(F78,NXT!$C$12:$C$345,1,0),"","x")</f>
        <v/>
      </c>
    </row>
    <row r="79" spans="1:31" s="560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2</v>
      </c>
      <c r="C79" s="184">
        <f t="shared" si="20"/>
        <v>41684</v>
      </c>
      <c r="D79" s="184" t="s">
        <v>918</v>
      </c>
      <c r="E79" s="184">
        <v>41684</v>
      </c>
      <c r="F79" s="189" t="s">
        <v>437</v>
      </c>
      <c r="G79" s="628" t="s">
        <v>438</v>
      </c>
      <c r="H79" s="7" t="s">
        <v>439</v>
      </c>
      <c r="I79" s="256">
        <v>598</v>
      </c>
      <c r="J79" s="256">
        <v>10500</v>
      </c>
      <c r="K79" s="568">
        <f>ROUND(I79*J79,0)</f>
        <v>6279000</v>
      </c>
      <c r="L79" s="569" t="s">
        <v>253</v>
      </c>
      <c r="M79" s="569" t="s">
        <v>177</v>
      </c>
      <c r="N79" s="52" t="str">
        <f>IF(AND('331-CT'!$E$7=TH!H79,OR(L79="331",M79="331")),"331",IF(AND(OR(L79="131",M79="131"),H79='131-CT'!$E$7),"131",""))</f>
        <v/>
      </c>
      <c r="O79" s="89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15"/>
      <c r="AC79" s="211" t="str">
        <f>IF(F79=VLOOKUP(F79,NXT!$C$12:$C$345,1,0),"","x")</f>
        <v/>
      </c>
    </row>
    <row r="80" spans="1:31" s="560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2</v>
      </c>
      <c r="C80" s="184">
        <f t="shared" si="20"/>
        <v>41684</v>
      </c>
      <c r="D80" s="184" t="s">
        <v>918</v>
      </c>
      <c r="E80" s="184">
        <v>41684</v>
      </c>
      <c r="F80" s="189" t="s">
        <v>421</v>
      </c>
      <c r="G80" s="628" t="s">
        <v>438</v>
      </c>
      <c r="H80" s="7" t="s">
        <v>439</v>
      </c>
      <c r="I80" s="256"/>
      <c r="J80" s="256"/>
      <c r="K80" s="568">
        <v>1245300</v>
      </c>
      <c r="L80" s="569" t="s">
        <v>253</v>
      </c>
      <c r="M80" s="569" t="s">
        <v>365</v>
      </c>
      <c r="N80" s="52" t="str">
        <f>IF(AND('331-CT'!$E$7=TH!H80,OR(L80="331",M80="331")),"331",IF(AND(OR(L80="131",M80="131"),H80='131-CT'!$E$7),"131",""))</f>
        <v/>
      </c>
      <c r="O80" s="89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15"/>
      <c r="AC80" s="560" t="str">
        <f>IF(VLOOKUP(H80,DS_131,1,0)&lt;&gt;"","","x")</f>
        <v/>
      </c>
    </row>
    <row r="81" spans="1:30" s="560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41689</v>
      </c>
      <c r="D81" s="184" t="s">
        <v>919</v>
      </c>
      <c r="E81" s="184">
        <v>41689</v>
      </c>
      <c r="F81" s="189" t="s">
        <v>440</v>
      </c>
      <c r="G81" s="628" t="s">
        <v>441</v>
      </c>
      <c r="H81" s="7" t="s">
        <v>442</v>
      </c>
      <c r="I81" s="256">
        <v>160</v>
      </c>
      <c r="J81" s="256">
        <v>20400</v>
      </c>
      <c r="K81" s="568">
        <f>ROUND(I81*J81,0)</f>
        <v>3264000</v>
      </c>
      <c r="L81" s="569" t="s">
        <v>253</v>
      </c>
      <c r="M81" s="569" t="s">
        <v>177</v>
      </c>
      <c r="N81" s="52" t="str">
        <f>IF(AND('331-CT'!$E$7=TH!H81,OR(L81="331",M81="331")),"331",IF(AND(OR(L81="131",M81="131"),H81='131-CT'!$E$7),"131",""))</f>
        <v/>
      </c>
      <c r="O81" s="89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15"/>
      <c r="AC81" s="211" t="str">
        <f>IF(F81=VLOOKUP(F81,NXT!$C$12:$C$345,1,0),"","x")</f>
        <v/>
      </c>
    </row>
    <row r="82" spans="1:30" s="560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41689</v>
      </c>
      <c r="D82" s="184" t="s">
        <v>919</v>
      </c>
      <c r="E82" s="184">
        <v>41689</v>
      </c>
      <c r="F82" s="189" t="s">
        <v>421</v>
      </c>
      <c r="G82" s="570" t="s">
        <v>441</v>
      </c>
      <c r="H82" s="44" t="s">
        <v>442</v>
      </c>
      <c r="I82" s="256"/>
      <c r="J82" s="256"/>
      <c r="K82" s="568">
        <v>326400</v>
      </c>
      <c r="L82" s="569" t="s">
        <v>253</v>
      </c>
      <c r="M82" s="569" t="s">
        <v>365</v>
      </c>
      <c r="N82" s="52" t="str">
        <f>IF(AND('331-CT'!$E$7=TH!H82,OR(L82="331",M82="331")),"331",IF(AND(OR(L82="131",M82="131"),H82='131-CT'!$E$7),"131",""))</f>
        <v/>
      </c>
      <c r="O82" s="89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15"/>
      <c r="AC82" s="560" t="str">
        <f>IF(VLOOKUP(H82,DS_131,1,0)&lt;&gt;"","","x")</f>
        <v/>
      </c>
    </row>
    <row r="83" spans="1:30" s="560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41690</v>
      </c>
      <c r="D83" s="184" t="s">
        <v>920</v>
      </c>
      <c r="E83" s="184">
        <v>41690</v>
      </c>
      <c r="F83" s="189" t="s">
        <v>424</v>
      </c>
      <c r="G83" s="628" t="s">
        <v>443</v>
      </c>
      <c r="H83" s="7" t="s">
        <v>426</v>
      </c>
      <c r="I83" s="256">
        <v>500</v>
      </c>
      <c r="J83" s="256">
        <v>10300</v>
      </c>
      <c r="K83" s="568">
        <f>ROUND(I83*J83,0)</f>
        <v>5150000</v>
      </c>
      <c r="L83" s="569" t="s">
        <v>253</v>
      </c>
      <c r="M83" s="569" t="s">
        <v>177</v>
      </c>
      <c r="N83" s="52" t="str">
        <f>IF(AND('331-CT'!$E$7=TH!H83,OR(L83="331",M83="331")),"331",IF(AND(OR(L83="131",M83="131"),H83='131-CT'!$E$7),"131",""))</f>
        <v>131</v>
      </c>
      <c r="O83" s="89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15"/>
      <c r="AC83" s="211" t="str">
        <f>IF(F83=VLOOKUP(F83,NXT!$C$12:$C$345,1,0),"","x")</f>
        <v/>
      </c>
    </row>
    <row r="84" spans="1:30" s="560" customFormat="1" ht="15.75" customHeight="1">
      <c r="A84" s="204" t="str">
        <f>IF(B84&lt;&gt;"",IF(AND(B84&gt;=_TM1,B84&lt;=_TM2,OR(TH!L84="1111",TH!M84="1111")),TH!D84,""),"")</f>
        <v/>
      </c>
      <c r="B84" s="36">
        <f t="shared" si="19"/>
        <v>2</v>
      </c>
      <c r="C84" s="184">
        <f t="shared" si="20"/>
        <v>41690</v>
      </c>
      <c r="D84" s="184" t="s">
        <v>920</v>
      </c>
      <c r="E84" s="184">
        <v>41690</v>
      </c>
      <c r="F84" s="189" t="s">
        <v>421</v>
      </c>
      <c r="G84" s="628" t="s">
        <v>443</v>
      </c>
      <c r="H84" s="7" t="s">
        <v>426</v>
      </c>
      <c r="I84" s="256"/>
      <c r="J84" s="256"/>
      <c r="K84" s="568">
        <v>515000</v>
      </c>
      <c r="L84" s="569" t="s">
        <v>253</v>
      </c>
      <c r="M84" s="569" t="s">
        <v>365</v>
      </c>
      <c r="N84" s="52" t="str">
        <f>IF(AND('331-CT'!$E$7=TH!H84,OR(L84="331",M84="331")),"331",IF(AND(OR(L84="131",M84="131"),H84='131-CT'!$E$7),"131",""))</f>
        <v>131</v>
      </c>
      <c r="O84" s="89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15"/>
      <c r="AC84" s="560" t="str">
        <f>IF(VLOOKUP(H84,DS_131,1,0)&lt;&gt;"","","x")</f>
        <v/>
      </c>
      <c r="AD84" s="211"/>
    </row>
    <row r="85" spans="1:30" s="560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41691</v>
      </c>
      <c r="D85" s="184" t="s">
        <v>921</v>
      </c>
      <c r="E85" s="184">
        <v>41691</v>
      </c>
      <c r="F85" s="189" t="s">
        <v>437</v>
      </c>
      <c r="G85" s="628" t="s">
        <v>444</v>
      </c>
      <c r="H85" s="7" t="s">
        <v>439</v>
      </c>
      <c r="I85" s="256">
        <v>608</v>
      </c>
      <c r="J85" s="256">
        <v>10500</v>
      </c>
      <c r="K85" s="568">
        <f>ROUND(I85*J85,0)</f>
        <v>6384000</v>
      </c>
      <c r="L85" s="569" t="s">
        <v>253</v>
      </c>
      <c r="M85" s="569" t="s">
        <v>177</v>
      </c>
      <c r="N85" s="52" t="str">
        <f>IF(AND('331-CT'!$E$7=TH!H85,OR(L85="331",M85="331")),"331",IF(AND(OR(L85="131",M85="131"),H85='131-CT'!$E$7),"131",""))</f>
        <v/>
      </c>
      <c r="O85" s="89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15"/>
      <c r="AC85" s="211" t="str">
        <f>IF(F85=VLOOKUP(F85,NXT!$C$12:$C$345,1,0),"","x")</f>
        <v/>
      </c>
      <c r="AD85" s="211"/>
    </row>
    <row r="86" spans="1:30" s="560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41691</v>
      </c>
      <c r="D86" s="184" t="s">
        <v>921</v>
      </c>
      <c r="E86" s="184">
        <v>41691</v>
      </c>
      <c r="F86" s="189" t="s">
        <v>437</v>
      </c>
      <c r="G86" s="628" t="s">
        <v>444</v>
      </c>
      <c r="H86" s="7" t="s">
        <v>439</v>
      </c>
      <c r="I86" s="256">
        <v>633</v>
      </c>
      <c r="J86" s="256">
        <v>10500</v>
      </c>
      <c r="K86" s="568">
        <f>ROUND(I86*J86,0)</f>
        <v>6646500</v>
      </c>
      <c r="L86" s="569" t="s">
        <v>253</v>
      </c>
      <c r="M86" s="569" t="s">
        <v>177</v>
      </c>
      <c r="N86" s="52" t="str">
        <f>IF(AND('331-CT'!$E$7=TH!H86,OR(L86="331",M86="331")),"331",IF(AND(OR(L86="131",M86="131"),H86='131-CT'!$E$7),"131",""))</f>
        <v/>
      </c>
      <c r="O86" s="89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15"/>
      <c r="AC86" s="211" t="str">
        <f>IF(F86=VLOOKUP(F86,NXT!$C$12:$C$345,1,0),"","x")</f>
        <v/>
      </c>
      <c r="AD86" s="211"/>
    </row>
    <row r="87" spans="1:30" s="560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2</v>
      </c>
      <c r="C87" s="184">
        <f t="shared" si="20"/>
        <v>41691</v>
      </c>
      <c r="D87" s="184" t="s">
        <v>921</v>
      </c>
      <c r="E87" s="184">
        <v>41691</v>
      </c>
      <c r="F87" s="189" t="s">
        <v>421</v>
      </c>
      <c r="G87" s="628" t="s">
        <v>444</v>
      </c>
      <c r="H87" s="7" t="s">
        <v>439</v>
      </c>
      <c r="I87" s="256"/>
      <c r="J87" s="256"/>
      <c r="K87" s="568">
        <v>1303050</v>
      </c>
      <c r="L87" s="569" t="s">
        <v>253</v>
      </c>
      <c r="M87" s="569" t="s">
        <v>365</v>
      </c>
      <c r="N87" s="52" t="str">
        <f>IF(AND('331-CT'!$E$7=TH!H87,OR(L87="331",M87="331")),"331",IF(AND(OR(L87="131",M87="131"),H87='131-CT'!$E$7),"131",""))</f>
        <v/>
      </c>
      <c r="O87" s="89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15"/>
      <c r="AC87" s="560" t="str">
        <f>IF(VLOOKUP(H87,DS_131,1,0)&lt;&gt;"","","x")</f>
        <v/>
      </c>
      <c r="AD87" s="211"/>
    </row>
    <row r="88" spans="1:30" s="560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41694</v>
      </c>
      <c r="D88" s="184" t="s">
        <v>922</v>
      </c>
      <c r="E88" s="184">
        <v>41694</v>
      </c>
      <c r="F88" s="189" t="s">
        <v>422</v>
      </c>
      <c r="G88" s="628" t="s">
        <v>445</v>
      </c>
      <c r="H88" s="7" t="s">
        <v>908</v>
      </c>
      <c r="I88" s="256">
        <v>490</v>
      </c>
      <c r="J88" s="256">
        <v>17300</v>
      </c>
      <c r="K88" s="568">
        <f>ROUND(I88*J88,0)</f>
        <v>8477000</v>
      </c>
      <c r="L88" s="569" t="s">
        <v>253</v>
      </c>
      <c r="M88" s="569" t="s">
        <v>177</v>
      </c>
      <c r="N88" s="52" t="str">
        <f>IF(AND('331-CT'!$E$7=TH!H88,OR(L88="331",M88="331")),"331",IF(AND(OR(L88="131",M88="131"),H88='131-CT'!$E$7),"131",""))</f>
        <v/>
      </c>
      <c r="O88" s="89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15"/>
      <c r="AC88" s="211" t="str">
        <f>IF(F88=VLOOKUP(F88,NXT!$C$12:$C$345,1,0),"","x")</f>
        <v/>
      </c>
      <c r="AD88" s="211"/>
    </row>
    <row r="89" spans="1:30" s="560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41694</v>
      </c>
      <c r="D89" s="184" t="s">
        <v>922</v>
      </c>
      <c r="E89" s="184">
        <v>41694</v>
      </c>
      <c r="F89" s="40" t="s">
        <v>446</v>
      </c>
      <c r="G89" s="628" t="s">
        <v>445</v>
      </c>
      <c r="H89" s="7" t="s">
        <v>908</v>
      </c>
      <c r="I89" s="256">
        <v>980</v>
      </c>
      <c r="J89" s="256">
        <v>1500</v>
      </c>
      <c r="K89" s="568">
        <f>ROUND(I89*J89,0)</f>
        <v>1470000</v>
      </c>
      <c r="L89" s="569" t="s">
        <v>253</v>
      </c>
      <c r="M89" s="569" t="s">
        <v>177</v>
      </c>
      <c r="N89" s="52" t="str">
        <f>IF(AND('331-CT'!$E$7=TH!H89,OR(L89="331",M89="331")),"331",IF(AND(OR(L89="131",M89="131"),H89='131-CT'!$E$7),"131",""))</f>
        <v/>
      </c>
      <c r="O89" s="89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15"/>
      <c r="AC89" s="211" t="str">
        <f>IF(F89=VLOOKUP(F89,NXT!$C$12:$C$345,1,0),"","x")</f>
        <v/>
      </c>
    </row>
    <row r="90" spans="1:30" s="560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2</v>
      </c>
      <c r="C90" s="184">
        <f t="shared" si="20"/>
        <v>41694</v>
      </c>
      <c r="D90" s="184" t="s">
        <v>922</v>
      </c>
      <c r="E90" s="184">
        <v>41694</v>
      </c>
      <c r="F90" s="40" t="s">
        <v>421</v>
      </c>
      <c r="G90" s="628" t="s">
        <v>445</v>
      </c>
      <c r="H90" s="7" t="s">
        <v>908</v>
      </c>
      <c r="I90" s="256"/>
      <c r="J90" s="256"/>
      <c r="K90" s="38">
        <v>994700</v>
      </c>
      <c r="L90" s="569" t="s">
        <v>253</v>
      </c>
      <c r="M90" s="569" t="s">
        <v>365</v>
      </c>
      <c r="N90" s="52" t="str">
        <f>IF(AND('331-CT'!$E$7=TH!H90,OR(L90="331",M90="331")),"331",IF(AND(OR(L90="131",M90="131"),H90='131-CT'!$E$7),"131",""))</f>
        <v/>
      </c>
      <c r="O90" s="89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15"/>
      <c r="AC90" s="560" t="str">
        <f>IF(VLOOKUP(H90,DS_131,1,0)&lt;&gt;"","","x")</f>
        <v/>
      </c>
    </row>
    <row r="91" spans="1:30" s="560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41697</v>
      </c>
      <c r="D91" s="184" t="s">
        <v>923</v>
      </c>
      <c r="E91" s="184">
        <v>41697</v>
      </c>
      <c r="F91" s="189" t="s">
        <v>447</v>
      </c>
      <c r="G91" s="628" t="s">
        <v>448</v>
      </c>
      <c r="H91" s="7" t="s">
        <v>911</v>
      </c>
      <c r="I91" s="256">
        <v>2500</v>
      </c>
      <c r="J91" s="256">
        <v>4800</v>
      </c>
      <c r="K91" s="568">
        <f>ROUND(I91*J91,0)</f>
        <v>12000000</v>
      </c>
      <c r="L91" s="569" t="s">
        <v>253</v>
      </c>
      <c r="M91" s="569" t="s">
        <v>177</v>
      </c>
      <c r="N91" s="52" t="str">
        <f>IF(AND('331-CT'!$E$7=TH!H91,OR(L91="331",M91="331")),"331",IF(AND(OR(L91="131",M91="131"),H91='131-CT'!$E$7),"131",""))</f>
        <v/>
      </c>
      <c r="O91" s="89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15"/>
      <c r="AC91" s="211" t="str">
        <f>IF(F91=VLOOKUP(F91,NXT!$C$12:$C$345,1,0),"","x")</f>
        <v/>
      </c>
      <c r="AD91" s="211"/>
    </row>
    <row r="92" spans="1:30" s="560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41697</v>
      </c>
      <c r="D92" s="184" t="s">
        <v>923</v>
      </c>
      <c r="E92" s="184">
        <v>41697</v>
      </c>
      <c r="F92" s="189" t="s">
        <v>421</v>
      </c>
      <c r="G92" s="628" t="s">
        <v>448</v>
      </c>
      <c r="H92" s="7" t="s">
        <v>911</v>
      </c>
      <c r="I92" s="256"/>
      <c r="J92" s="256"/>
      <c r="K92" s="568">
        <v>1200000</v>
      </c>
      <c r="L92" s="569" t="s">
        <v>253</v>
      </c>
      <c r="M92" s="569" t="s">
        <v>365</v>
      </c>
      <c r="N92" s="52" t="str">
        <f>IF(AND('331-CT'!$E$7=TH!H92,OR(L92="331",M92="331")),"331",IF(AND(OR(L92="131",M92="131"),H92='131-CT'!$E$7),"131",""))</f>
        <v/>
      </c>
      <c r="O92" s="89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15"/>
      <c r="AC92" s="560" t="str">
        <f>IF(VLOOKUP(H92,DS_131,1,0)&lt;&gt;"","","x")</f>
        <v/>
      </c>
      <c r="AD92" s="211"/>
    </row>
    <row r="93" spans="1:30" s="560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41698</v>
      </c>
      <c r="D93" s="184" t="s">
        <v>924</v>
      </c>
      <c r="E93" s="184">
        <v>41698</v>
      </c>
      <c r="F93" s="189" t="s">
        <v>449</v>
      </c>
      <c r="G93" s="628" t="s">
        <v>450</v>
      </c>
      <c r="H93" s="7" t="s">
        <v>909</v>
      </c>
      <c r="I93" s="256">
        <v>313</v>
      </c>
      <c r="J93" s="256">
        <v>7000</v>
      </c>
      <c r="K93" s="568">
        <f>ROUND(I93*J93,0)</f>
        <v>2191000</v>
      </c>
      <c r="L93" s="569" t="s">
        <v>253</v>
      </c>
      <c r="M93" s="569" t="s">
        <v>177</v>
      </c>
      <c r="N93" s="52" t="str">
        <f>IF(AND('331-CT'!$E$7=TH!H93,OR(L93="331",M93="331")),"331",IF(AND(OR(L93="131",M93="131"),H93='131-CT'!$E$7),"131",""))</f>
        <v/>
      </c>
      <c r="O93" s="89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15"/>
      <c r="AC93" s="211" t="str">
        <f>IF(F93=VLOOKUP(F93,NXT!$C$12:$C$345,1,0),"","x")</f>
        <v/>
      </c>
    </row>
    <row r="94" spans="1:30" s="560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2</v>
      </c>
      <c r="C94" s="184">
        <f t="shared" si="20"/>
        <v>41698</v>
      </c>
      <c r="D94" s="184" t="s">
        <v>924</v>
      </c>
      <c r="E94" s="184">
        <v>41698</v>
      </c>
      <c r="F94" s="189" t="s">
        <v>431</v>
      </c>
      <c r="G94" s="628" t="s">
        <v>450</v>
      </c>
      <c r="H94" s="7" t="s">
        <v>909</v>
      </c>
      <c r="I94" s="256">
        <v>586</v>
      </c>
      <c r="J94" s="256">
        <v>8600</v>
      </c>
      <c r="K94" s="568">
        <f>ROUND(I94*J94,0)</f>
        <v>5039600</v>
      </c>
      <c r="L94" s="569" t="s">
        <v>253</v>
      </c>
      <c r="M94" s="569" t="s">
        <v>177</v>
      </c>
      <c r="N94" s="52" t="str">
        <f>IF(AND('331-CT'!$E$7=TH!H94,OR(L94="331",M94="331")),"331",IF(AND(OR(L94="131",M94="131"),H94='131-CT'!$E$7),"131",""))</f>
        <v/>
      </c>
      <c r="O94" s="89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15"/>
      <c r="AC94" s="211" t="str">
        <f>IF(F94=VLOOKUP(F94,NXT!$C$12:$C$345,1,0),"","x")</f>
        <v/>
      </c>
    </row>
    <row r="95" spans="1:30" s="560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41698</v>
      </c>
      <c r="D95" s="184" t="s">
        <v>924</v>
      </c>
      <c r="E95" s="184">
        <v>41698</v>
      </c>
      <c r="F95" s="189" t="s">
        <v>451</v>
      </c>
      <c r="G95" s="628" t="s">
        <v>450</v>
      </c>
      <c r="H95" s="7" t="s">
        <v>909</v>
      </c>
      <c r="I95" s="256">
        <v>310</v>
      </c>
      <c r="J95" s="256">
        <v>13500</v>
      </c>
      <c r="K95" s="568">
        <f>ROUND(I95*J95,0)</f>
        <v>4185000</v>
      </c>
      <c r="L95" s="569" t="s">
        <v>253</v>
      </c>
      <c r="M95" s="569" t="s">
        <v>177</v>
      </c>
      <c r="N95" s="52" t="str">
        <f>IF(AND('331-CT'!$E$7=TH!H95,OR(L95="331",M95="331")),"331",IF(AND(OR(L95="131",M95="131"),H95='131-CT'!$E$7),"131",""))</f>
        <v/>
      </c>
      <c r="O95" s="89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15"/>
      <c r="AC95" s="211" t="str">
        <f>IF(F95=VLOOKUP(F95,NXT!$C$12:$C$345,1,0),"","x")</f>
        <v/>
      </c>
    </row>
    <row r="96" spans="1:30" s="560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41698</v>
      </c>
      <c r="D96" s="184" t="s">
        <v>924</v>
      </c>
      <c r="E96" s="184">
        <v>41698</v>
      </c>
      <c r="F96" s="189" t="s">
        <v>452</v>
      </c>
      <c r="G96" s="628" t="s">
        <v>450</v>
      </c>
      <c r="H96" s="7" t="s">
        <v>909</v>
      </c>
      <c r="I96" s="256">
        <v>200</v>
      </c>
      <c r="J96" s="256">
        <v>8000</v>
      </c>
      <c r="K96" s="568">
        <f>ROUND(I96*J96,0)</f>
        <v>1600000</v>
      </c>
      <c r="L96" s="569" t="s">
        <v>253</v>
      </c>
      <c r="M96" s="569" t="s">
        <v>177</v>
      </c>
      <c r="N96" s="52" t="str">
        <f>IF(AND('331-CT'!$E$7=TH!H96,OR(L96="331",M96="331")),"331",IF(AND(OR(L96="131",M96="131"),H96='131-CT'!$E$7),"131",""))</f>
        <v/>
      </c>
      <c r="O96" s="89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15"/>
      <c r="AC96" s="211" t="str">
        <f>IF(F96=VLOOKUP(F96,NXT!$C$12:$C$345,1,0),"","x")</f>
        <v/>
      </c>
    </row>
    <row r="97" spans="1:31" s="560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41698</v>
      </c>
      <c r="D97" s="184" t="s">
        <v>924</v>
      </c>
      <c r="E97" s="730">
        <v>41698</v>
      </c>
      <c r="F97" s="443" t="s">
        <v>421</v>
      </c>
      <c r="G97" s="40" t="s">
        <v>450</v>
      </c>
      <c r="H97" s="7" t="s">
        <v>909</v>
      </c>
      <c r="I97" s="256"/>
      <c r="J97" s="256"/>
      <c r="K97" s="568">
        <v>1301560</v>
      </c>
      <c r="L97" s="569" t="s">
        <v>253</v>
      </c>
      <c r="M97" s="569" t="s">
        <v>365</v>
      </c>
      <c r="N97" s="52" t="str">
        <f>IF(AND('331-CT'!$E$7=TH!H97,OR(L97="331",M97="331")),"331",IF(AND(OR(L97="131",M97="131"),H97='131-CT'!$E$7),"131",""))</f>
        <v/>
      </c>
      <c r="O97" s="89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15"/>
      <c r="AC97" s="560" t="str">
        <f>IF(VLOOKUP(H97,DS_131,1,0)&lt;&gt;"","","x")</f>
        <v/>
      </c>
      <c r="AD97" s="211"/>
      <c r="AE97" s="211"/>
    </row>
    <row r="98" spans="1:31" s="560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41698</v>
      </c>
      <c r="D98" s="184" t="s">
        <v>925</v>
      </c>
      <c r="E98" s="730">
        <v>41698</v>
      </c>
      <c r="F98" s="443" t="s">
        <v>453</v>
      </c>
      <c r="G98" s="40" t="s">
        <v>454</v>
      </c>
      <c r="H98" s="7" t="s">
        <v>455</v>
      </c>
      <c r="I98" s="256">
        <v>210</v>
      </c>
      <c r="J98" s="256">
        <v>13000</v>
      </c>
      <c r="K98" s="568">
        <f>ROUND(I98*J98,0)</f>
        <v>2730000</v>
      </c>
      <c r="L98" s="569" t="s">
        <v>253</v>
      </c>
      <c r="M98" s="569" t="s">
        <v>177</v>
      </c>
      <c r="N98" s="52" t="str">
        <f>IF(AND('331-CT'!$E$7=TH!H98,OR(L98="331",M98="331")),"331",IF(AND(OR(L98="131",M98="131"),H98='131-CT'!$E$7),"131",""))</f>
        <v/>
      </c>
      <c r="O98" s="89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15"/>
      <c r="AC98" s="211" t="str">
        <f>IF(F98=VLOOKUP(F98,NXT!$C$12:$C$345,1,0),"","x")</f>
        <v/>
      </c>
      <c r="AD98" s="211"/>
      <c r="AE98" s="211"/>
    </row>
    <row r="99" spans="1:31" s="560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41698</v>
      </c>
      <c r="D99" s="184" t="s">
        <v>925</v>
      </c>
      <c r="E99" s="184">
        <v>41698</v>
      </c>
      <c r="F99" s="189" t="s">
        <v>456</v>
      </c>
      <c r="G99" s="628" t="s">
        <v>454</v>
      </c>
      <c r="H99" s="7" t="s">
        <v>455</v>
      </c>
      <c r="I99" s="256">
        <v>250</v>
      </c>
      <c r="J99" s="256">
        <v>14200</v>
      </c>
      <c r="K99" s="568">
        <f>ROUND(I99*J99,0)</f>
        <v>3550000</v>
      </c>
      <c r="L99" s="569" t="s">
        <v>253</v>
      </c>
      <c r="M99" s="569" t="s">
        <v>177</v>
      </c>
      <c r="N99" s="52" t="str">
        <f>IF(AND('331-CT'!$E$7=TH!H99,OR(L99="331",M99="331")),"331",IF(AND(OR(L99="131",M99="131"),H99='131-CT'!$E$7),"131",""))</f>
        <v/>
      </c>
      <c r="O99" s="89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15"/>
      <c r="AC99" s="211" t="str">
        <f>IF(F99=VLOOKUP(F99,NXT!$C$12:$C$345,1,0),"","x")</f>
        <v/>
      </c>
    </row>
    <row r="100" spans="1:31" s="560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925</v>
      </c>
      <c r="E100" s="184">
        <v>41698</v>
      </c>
      <c r="F100" s="189" t="s">
        <v>457</v>
      </c>
      <c r="G100" s="628" t="s">
        <v>454</v>
      </c>
      <c r="H100" s="7" t="s">
        <v>455</v>
      </c>
      <c r="I100" s="256">
        <v>100</v>
      </c>
      <c r="J100" s="256">
        <v>8000</v>
      </c>
      <c r="K100" s="568">
        <f>ROUND(I100*J100,0)</f>
        <v>800000</v>
      </c>
      <c r="L100" s="569" t="s">
        <v>253</v>
      </c>
      <c r="M100" s="569" t="s">
        <v>177</v>
      </c>
      <c r="N100" s="52" t="str">
        <f>IF(AND('331-CT'!$E$7=TH!H100,OR(L100="331",M100="331")),"331",IF(AND(OR(L100="131",M100="131"),H100='131-CT'!$E$7),"131",""))</f>
        <v/>
      </c>
      <c r="O100" s="89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15"/>
      <c r="AC100" s="211" t="str">
        <f>IF(F100=VLOOKUP(F100,NXT!$C$12:$C$345,1,0),"","x")</f>
        <v/>
      </c>
    </row>
    <row r="101" spans="1:31" s="560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925</v>
      </c>
      <c r="E101" s="184">
        <v>41698</v>
      </c>
      <c r="F101" s="189" t="s">
        <v>421</v>
      </c>
      <c r="G101" s="628" t="s">
        <v>454</v>
      </c>
      <c r="H101" s="7" t="s">
        <v>455</v>
      </c>
      <c r="I101" s="256"/>
      <c r="J101" s="256"/>
      <c r="K101" s="568">
        <v>708000</v>
      </c>
      <c r="L101" s="569" t="s">
        <v>253</v>
      </c>
      <c r="M101" s="569" t="s">
        <v>365</v>
      </c>
      <c r="N101" s="52" t="str">
        <f>IF(AND('331-CT'!$E$7=TH!H101,OR(L101="331",M101="331")),"331",IF(AND(OR(L101="131",M101="131"),H101='131-CT'!$E$7),"131",""))</f>
        <v/>
      </c>
      <c r="O101" s="89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15"/>
      <c r="AC101" s="560" t="str">
        <f>IF(VLOOKUP(H101,DS_131,1,0)&lt;&gt;"","","x")</f>
        <v/>
      </c>
    </row>
    <row r="102" spans="1:31" s="560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926</v>
      </c>
      <c r="E102" s="184">
        <v>41698</v>
      </c>
      <c r="F102" s="189" t="s">
        <v>447</v>
      </c>
      <c r="G102" s="570" t="s">
        <v>458</v>
      </c>
      <c r="H102" s="44" t="s">
        <v>459</v>
      </c>
      <c r="I102" s="256">
        <v>500</v>
      </c>
      <c r="J102" s="256">
        <v>5700</v>
      </c>
      <c r="K102" s="568">
        <f>ROUND(I102*J102,0)</f>
        <v>2850000</v>
      </c>
      <c r="L102" s="569" t="s">
        <v>253</v>
      </c>
      <c r="M102" s="569" t="s">
        <v>177</v>
      </c>
      <c r="N102" s="52" t="str">
        <f>IF(AND('331-CT'!$E$7=TH!H102,OR(L102="331",M102="331")),"331",IF(AND(OR(L102="131",M102="131"),H102='131-CT'!$E$7),"131",""))</f>
        <v/>
      </c>
      <c r="O102" s="89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15"/>
      <c r="AC102" s="211" t="str">
        <f>IF(F102=VLOOKUP(F102,NXT!$C$12:$C$345,1,0),"","x")</f>
        <v/>
      </c>
    </row>
    <row r="103" spans="1:31" s="560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926</v>
      </c>
      <c r="E103" s="184">
        <v>41698</v>
      </c>
      <c r="F103" s="189" t="s">
        <v>421</v>
      </c>
      <c r="G103" s="628" t="s">
        <v>458</v>
      </c>
      <c r="H103" s="7" t="s">
        <v>459</v>
      </c>
      <c r="I103" s="256"/>
      <c r="J103" s="256"/>
      <c r="K103" s="568">
        <v>285000</v>
      </c>
      <c r="L103" s="569" t="s">
        <v>253</v>
      </c>
      <c r="M103" s="569" t="s">
        <v>365</v>
      </c>
      <c r="N103" s="52" t="str">
        <f>IF(AND('331-CT'!$E$7=TH!H103,OR(L103="331",M103="331")),"331",IF(AND(OR(L103="131",M103="131"),H103='131-CT'!$E$7),"131",""))</f>
        <v/>
      </c>
      <c r="O103" s="89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15"/>
      <c r="AC103" s="560" t="str">
        <f>IF(VLOOKUP(H103,DS_131,1,0)&lt;&gt;"","","x")</f>
        <v/>
      </c>
    </row>
    <row r="104" spans="1:31" s="560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3</v>
      </c>
      <c r="C104" s="184">
        <f t="shared" si="20"/>
        <v>41702</v>
      </c>
      <c r="D104" s="184" t="s">
        <v>927</v>
      </c>
      <c r="E104" s="184">
        <v>41702</v>
      </c>
      <c r="F104" s="189" t="s">
        <v>460</v>
      </c>
      <c r="G104" s="628" t="s">
        <v>461</v>
      </c>
      <c r="H104" s="7" t="s">
        <v>462</v>
      </c>
      <c r="I104" s="256">
        <v>1115</v>
      </c>
      <c r="J104" s="256">
        <v>8740</v>
      </c>
      <c r="K104" s="568">
        <f>ROUND(I104*J104,0)</f>
        <v>9745100</v>
      </c>
      <c r="L104" s="569" t="s">
        <v>253</v>
      </c>
      <c r="M104" s="569" t="s">
        <v>177</v>
      </c>
      <c r="N104" s="52" t="str">
        <f>IF(AND('331-CT'!$E$7=TH!H104,OR(L104="331",M104="331")),"331",IF(AND(OR(L104="131",M104="131"),H104='131-CT'!$E$7),"131",""))</f>
        <v/>
      </c>
      <c r="O104" s="89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15"/>
      <c r="AC104" s="211" t="str">
        <f>IF(F104=VLOOKUP(F104,NXT!$C$12:$C$345,1,0),"","x")</f>
        <v/>
      </c>
    </row>
    <row r="105" spans="1:31" s="560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3</v>
      </c>
      <c r="C105" s="184">
        <f t="shared" si="20"/>
        <v>41702</v>
      </c>
      <c r="D105" s="184" t="s">
        <v>927</v>
      </c>
      <c r="E105" s="184">
        <v>41702</v>
      </c>
      <c r="F105" s="189" t="s">
        <v>421</v>
      </c>
      <c r="G105" s="628" t="s">
        <v>461</v>
      </c>
      <c r="H105" s="7" t="s">
        <v>462</v>
      </c>
      <c r="I105" s="256"/>
      <c r="J105" s="256"/>
      <c r="K105" s="568">
        <v>974510</v>
      </c>
      <c r="L105" s="569" t="s">
        <v>253</v>
      </c>
      <c r="M105" s="569" t="s">
        <v>365</v>
      </c>
      <c r="N105" s="52" t="str">
        <f>IF(AND('331-CT'!$E$7=TH!H105,OR(L105="331",M105="331")),"331",IF(AND(OR(L105="131",M105="131"),H105='131-CT'!$E$7),"131",""))</f>
        <v/>
      </c>
      <c r="O105" s="89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15"/>
      <c r="AC105" s="560" t="str">
        <f>IF(VLOOKUP(H105,DS_131,1,0)&lt;&gt;"","","x")</f>
        <v/>
      </c>
    </row>
    <row r="106" spans="1:31" s="560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3</v>
      </c>
      <c r="C106" s="184">
        <f t="shared" si="20"/>
        <v>41704</v>
      </c>
      <c r="D106" s="184" t="s">
        <v>928</v>
      </c>
      <c r="E106" s="184">
        <v>41704</v>
      </c>
      <c r="F106" s="189" t="s">
        <v>424</v>
      </c>
      <c r="G106" s="628" t="s">
        <v>463</v>
      </c>
      <c r="H106" s="7" t="s">
        <v>426</v>
      </c>
      <c r="I106" s="256">
        <v>505</v>
      </c>
      <c r="J106" s="256">
        <v>10500</v>
      </c>
      <c r="K106" s="568">
        <f>ROUND(I106*J106,0)</f>
        <v>5302500</v>
      </c>
      <c r="L106" s="569" t="s">
        <v>253</v>
      </c>
      <c r="M106" s="569" t="s">
        <v>177</v>
      </c>
      <c r="N106" s="52" t="str">
        <f>IF(AND('331-CT'!$E$7=TH!H106,OR(L106="331",M106="331")),"331",IF(AND(OR(L106="131",M106="131"),H106='131-CT'!$E$7),"131",""))</f>
        <v>131</v>
      </c>
      <c r="O106" s="89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15"/>
      <c r="AC106" s="211" t="str">
        <f>IF(F106=VLOOKUP(F106,NXT!$C$12:$C$345,1,0),"","x")</f>
        <v/>
      </c>
    </row>
    <row r="107" spans="1:31" s="560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3</v>
      </c>
      <c r="C107" s="184">
        <f t="shared" si="20"/>
        <v>41704</v>
      </c>
      <c r="D107" s="184" t="s">
        <v>928</v>
      </c>
      <c r="E107" s="184">
        <v>41704</v>
      </c>
      <c r="F107" s="189" t="s">
        <v>464</v>
      </c>
      <c r="G107" s="628" t="s">
        <v>463</v>
      </c>
      <c r="H107" s="7" t="s">
        <v>426</v>
      </c>
      <c r="I107" s="256">
        <v>520</v>
      </c>
      <c r="J107" s="256">
        <v>12500</v>
      </c>
      <c r="K107" s="568">
        <f>ROUND(I107*J107,0)</f>
        <v>6500000</v>
      </c>
      <c r="L107" s="569" t="s">
        <v>253</v>
      </c>
      <c r="M107" s="569" t="s">
        <v>177</v>
      </c>
      <c r="N107" s="52" t="str">
        <f>IF(AND('331-CT'!$E$7=TH!H107,OR(L107="331",M107="331")),"331",IF(AND(OR(L107="131",M107="131"),H107='131-CT'!$E$7),"131",""))</f>
        <v>131</v>
      </c>
      <c r="O107" s="89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15"/>
      <c r="AC107" s="211" t="str">
        <f>IF(F107=VLOOKUP(F107,NXT!$C$12:$C$345,1,0),"","x")</f>
        <v/>
      </c>
    </row>
    <row r="108" spans="1:31" s="560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3</v>
      </c>
      <c r="C108" s="184">
        <f t="shared" si="20"/>
        <v>41704</v>
      </c>
      <c r="D108" s="184" t="s">
        <v>928</v>
      </c>
      <c r="E108" s="184">
        <v>41704</v>
      </c>
      <c r="F108" s="189" t="s">
        <v>421</v>
      </c>
      <c r="G108" s="628" t="s">
        <v>463</v>
      </c>
      <c r="H108" s="7" t="s">
        <v>426</v>
      </c>
      <c r="I108" s="256"/>
      <c r="J108" s="256"/>
      <c r="K108" s="568">
        <v>1180250</v>
      </c>
      <c r="L108" s="569" t="s">
        <v>253</v>
      </c>
      <c r="M108" s="569" t="s">
        <v>365</v>
      </c>
      <c r="N108" s="52" t="str">
        <f>IF(AND('331-CT'!$E$7=TH!H108,OR(L108="331",M108="331")),"331",IF(AND(OR(L108="131",M108="131"),H108='131-CT'!$E$7),"131",""))</f>
        <v>131</v>
      </c>
      <c r="O108" s="89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15"/>
      <c r="AC108" s="560" t="str">
        <f>IF(VLOOKUP(H108,DS_131,1,0)&lt;&gt;"","","x")</f>
        <v/>
      </c>
    </row>
    <row r="109" spans="1:31" s="560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3</v>
      </c>
      <c r="C109" s="184">
        <f t="shared" si="20"/>
        <v>41704</v>
      </c>
      <c r="D109" s="184" t="s">
        <v>929</v>
      </c>
      <c r="E109" s="184">
        <v>41704</v>
      </c>
      <c r="F109" s="189" t="s">
        <v>447</v>
      </c>
      <c r="G109" s="628" t="s">
        <v>465</v>
      </c>
      <c r="H109" s="7" t="s">
        <v>466</v>
      </c>
      <c r="I109" s="256">
        <v>1139</v>
      </c>
      <c r="J109" s="256">
        <v>4829</v>
      </c>
      <c r="K109" s="568">
        <f>ROUND(I109*J109,0)</f>
        <v>5500231</v>
      </c>
      <c r="L109" s="569" t="s">
        <v>253</v>
      </c>
      <c r="M109" s="569" t="s">
        <v>177</v>
      </c>
      <c r="N109" s="52" t="str">
        <f>IF(AND('331-CT'!$E$7=TH!H109,OR(L109="331",M109="331")),"331",IF(AND(OR(L109="131",M109="131"),H109='131-CT'!$E$7),"131",""))</f>
        <v/>
      </c>
      <c r="O109" s="89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15"/>
      <c r="AC109" s="211" t="str">
        <f>IF(F109=VLOOKUP(F109,NXT!$C$12:$C$345,1,0),"","x")</f>
        <v/>
      </c>
    </row>
    <row r="110" spans="1:31" s="560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3</v>
      </c>
      <c r="C110" s="184">
        <f t="shared" si="20"/>
        <v>41704</v>
      </c>
      <c r="D110" s="184" t="s">
        <v>929</v>
      </c>
      <c r="E110" s="184">
        <v>41704</v>
      </c>
      <c r="F110" s="189" t="s">
        <v>421</v>
      </c>
      <c r="G110" s="628" t="s">
        <v>465</v>
      </c>
      <c r="H110" s="7" t="s">
        <v>466</v>
      </c>
      <c r="I110" s="256"/>
      <c r="J110" s="256"/>
      <c r="K110" s="568">
        <v>550023</v>
      </c>
      <c r="L110" s="569" t="s">
        <v>253</v>
      </c>
      <c r="M110" s="569" t="s">
        <v>365</v>
      </c>
      <c r="N110" s="52" t="str">
        <f>IF(AND('331-CT'!$E$7=TH!H110,OR(L110="331",M110="331")),"331",IF(AND(OR(L110="131",M110="131"),H110='131-CT'!$E$7),"131",""))</f>
        <v/>
      </c>
      <c r="O110" s="89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15"/>
      <c r="AC110" s="560" t="str">
        <f>IF(VLOOKUP(H110,DS_131,1,0)&lt;&gt;"","","x")</f>
        <v/>
      </c>
    </row>
    <row r="111" spans="1:31" s="560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3</v>
      </c>
      <c r="C111" s="184">
        <f t="shared" si="20"/>
        <v>41710</v>
      </c>
      <c r="D111" s="184" t="s">
        <v>930</v>
      </c>
      <c r="E111" s="184">
        <v>41710</v>
      </c>
      <c r="F111" s="189" t="s">
        <v>467</v>
      </c>
      <c r="G111" s="628" t="s">
        <v>468</v>
      </c>
      <c r="H111" s="7" t="s">
        <v>910</v>
      </c>
      <c r="I111" s="256">
        <v>1638</v>
      </c>
      <c r="J111" s="256">
        <v>4650</v>
      </c>
      <c r="K111" s="568">
        <f>ROUND(I111*J111,0)</f>
        <v>7616700</v>
      </c>
      <c r="L111" s="569" t="s">
        <v>253</v>
      </c>
      <c r="M111" s="569" t="s">
        <v>177</v>
      </c>
      <c r="N111" s="52" t="str">
        <f>IF(AND('331-CT'!$E$7=TH!H111,OR(L111="331",M111="331")),"331",IF(AND(OR(L111="131",M111="131"),H111='131-CT'!$E$7),"131",""))</f>
        <v/>
      </c>
      <c r="O111" s="89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15"/>
      <c r="AC111" s="211" t="str">
        <f>IF(F111=VLOOKUP(F111,NXT!$C$12:$C$345,1,0),"","x")</f>
        <v/>
      </c>
    </row>
    <row r="112" spans="1:31" s="560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41710</v>
      </c>
      <c r="D112" s="184" t="s">
        <v>930</v>
      </c>
      <c r="E112" s="184">
        <v>41710</v>
      </c>
      <c r="F112" s="189" t="s">
        <v>421</v>
      </c>
      <c r="G112" s="628" t="s">
        <v>468</v>
      </c>
      <c r="H112" s="7" t="s">
        <v>910</v>
      </c>
      <c r="I112" s="256"/>
      <c r="J112" s="256"/>
      <c r="K112" s="568">
        <v>761670</v>
      </c>
      <c r="L112" s="569" t="s">
        <v>253</v>
      </c>
      <c r="M112" s="569" t="s">
        <v>365</v>
      </c>
      <c r="N112" s="52" t="str">
        <f>IF(AND('331-CT'!$E$7=TH!H112,OR(L112="331",M112="331")),"331",IF(AND(OR(L112="131",M112="131"),H112='131-CT'!$E$7),"131",""))</f>
        <v/>
      </c>
      <c r="O112" s="89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15"/>
      <c r="AC112" s="560" t="str">
        <f>IF(VLOOKUP(H112,DS_131,1,0)&lt;&gt;"","","x")</f>
        <v/>
      </c>
    </row>
    <row r="113" spans="1:31" s="560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41718</v>
      </c>
      <c r="D113" s="184" t="s">
        <v>931</v>
      </c>
      <c r="E113" s="37">
        <v>41718</v>
      </c>
      <c r="F113" s="40" t="s">
        <v>447</v>
      </c>
      <c r="G113" s="465" t="s">
        <v>469</v>
      </c>
      <c r="H113" s="45" t="s">
        <v>470</v>
      </c>
      <c r="I113" s="256">
        <v>110</v>
      </c>
      <c r="J113" s="256">
        <v>4420</v>
      </c>
      <c r="K113" s="568">
        <f>ROUND(I113*J113,0)</f>
        <v>486200</v>
      </c>
      <c r="L113" s="569" t="s">
        <v>253</v>
      </c>
      <c r="M113" s="569" t="s">
        <v>177</v>
      </c>
      <c r="N113" s="52" t="str">
        <f>IF(AND('331-CT'!$E$7=TH!H113,OR(L113="331",M113="331")),"331",IF(AND(OR(L113="131",M113="131"),H113='131-CT'!$E$7),"131",""))</f>
        <v/>
      </c>
      <c r="O113" s="89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15"/>
      <c r="AC113" s="211" t="str">
        <f>IF(F113=VLOOKUP(F113,NXT!$C$12:$C$345,1,0),"","x")</f>
        <v/>
      </c>
      <c r="AD113" s="211"/>
      <c r="AE113" s="211"/>
    </row>
    <row r="114" spans="1:31" s="560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3</v>
      </c>
      <c r="C114" s="184">
        <f t="shared" si="20"/>
        <v>41718</v>
      </c>
      <c r="D114" s="184" t="s">
        <v>931</v>
      </c>
      <c r="E114" s="37">
        <v>41718</v>
      </c>
      <c r="F114" s="40" t="s">
        <v>471</v>
      </c>
      <c r="G114" s="465" t="s">
        <v>469</v>
      </c>
      <c r="H114" s="45" t="s">
        <v>470</v>
      </c>
      <c r="I114" s="256">
        <v>880</v>
      </c>
      <c r="J114" s="256">
        <v>5720</v>
      </c>
      <c r="K114" s="568">
        <f>ROUND(I114*J114,0)</f>
        <v>5033600</v>
      </c>
      <c r="L114" s="569" t="s">
        <v>253</v>
      </c>
      <c r="M114" s="569" t="s">
        <v>177</v>
      </c>
      <c r="N114" s="52" t="str">
        <f>IF(AND('331-CT'!$E$7=TH!H114,OR(L114="331",M114="331")),"331",IF(AND(OR(L114="131",M114="131"),H114='131-CT'!$E$7),"131",""))</f>
        <v/>
      </c>
      <c r="O114" s="89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15"/>
      <c r="AC114" s="211" t="str">
        <f>IF(F114=VLOOKUP(F114,NXT!$C$12:$C$345,1,0),"","x")</f>
        <v/>
      </c>
      <c r="AD114" s="211"/>
      <c r="AE114" s="211"/>
    </row>
    <row r="115" spans="1:31" s="560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41718</v>
      </c>
      <c r="D115" s="184" t="s">
        <v>931</v>
      </c>
      <c r="E115" s="184">
        <v>41718</v>
      </c>
      <c r="F115" s="189" t="s">
        <v>421</v>
      </c>
      <c r="G115" s="570" t="s">
        <v>469</v>
      </c>
      <c r="H115" s="44" t="s">
        <v>470</v>
      </c>
      <c r="I115" s="256"/>
      <c r="J115" s="256"/>
      <c r="K115" s="568">
        <v>551980</v>
      </c>
      <c r="L115" s="569" t="s">
        <v>253</v>
      </c>
      <c r="M115" s="569" t="s">
        <v>365</v>
      </c>
      <c r="N115" s="52" t="str">
        <f>IF(AND('331-CT'!$E$7=TH!H115,OR(L115="331",M115="331")),"331",IF(AND(OR(L115="131",M115="131"),H115='131-CT'!$E$7),"131",""))</f>
        <v/>
      </c>
      <c r="O115" s="89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15"/>
      <c r="AC115" s="560" t="str">
        <f>IF(VLOOKUP(H115,DS_131,1,0)&lt;&gt;"","","x")</f>
        <v/>
      </c>
    </row>
    <row r="116" spans="1:31" s="560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41720</v>
      </c>
      <c r="D116" s="184" t="s">
        <v>932</v>
      </c>
      <c r="E116" s="184">
        <v>41720</v>
      </c>
      <c r="F116" s="189" t="s">
        <v>447</v>
      </c>
      <c r="G116" s="628" t="s">
        <v>472</v>
      </c>
      <c r="H116" s="7" t="s">
        <v>473</v>
      </c>
      <c r="I116" s="256">
        <v>214</v>
      </c>
      <c r="J116" s="256">
        <v>19000</v>
      </c>
      <c r="K116" s="568">
        <f>ROUND(I116*J116,0)</f>
        <v>4066000</v>
      </c>
      <c r="L116" s="569" t="s">
        <v>253</v>
      </c>
      <c r="M116" s="569" t="s">
        <v>177</v>
      </c>
      <c r="N116" s="52" t="str">
        <f>IF(AND('331-CT'!$E$7=TH!H116,OR(L116="331",M116="331")),"331",IF(AND(OR(L116="131",M116="131"),H116='131-CT'!$E$7),"131",""))</f>
        <v/>
      </c>
      <c r="O116" s="89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15"/>
      <c r="AC116" s="211" t="str">
        <f>IF(F116=VLOOKUP(F116,NXT!$C$12:$C$345,1,0),"","x")</f>
        <v/>
      </c>
    </row>
    <row r="117" spans="1:31" s="560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41720</v>
      </c>
      <c r="D117" s="184" t="s">
        <v>932</v>
      </c>
      <c r="E117" s="184">
        <v>41720</v>
      </c>
      <c r="F117" s="189" t="s">
        <v>421</v>
      </c>
      <c r="G117" s="628" t="s">
        <v>472</v>
      </c>
      <c r="H117" s="7" t="s">
        <v>473</v>
      </c>
      <c r="I117" s="256"/>
      <c r="J117" s="256"/>
      <c r="K117" s="568">
        <v>406600</v>
      </c>
      <c r="L117" s="569" t="s">
        <v>253</v>
      </c>
      <c r="M117" s="569" t="s">
        <v>365</v>
      </c>
      <c r="N117" s="52" t="str">
        <f>IF(AND('331-CT'!$E$7=TH!H117,OR(L117="331",M117="331")),"331",IF(AND(OR(L117="131",M117="131"),H117='131-CT'!$E$7),"131",""))</f>
        <v/>
      </c>
      <c r="O117" s="89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15"/>
      <c r="AC117" s="560" t="str">
        <f>IF(VLOOKUP(H117,DS_131,1,0)&lt;&gt;"","","x")</f>
        <v/>
      </c>
    </row>
    <row r="118" spans="1:31" s="560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3</v>
      </c>
      <c r="C118" s="184">
        <f t="shared" si="20"/>
        <v>41724</v>
      </c>
      <c r="D118" s="184" t="s">
        <v>933</v>
      </c>
      <c r="E118" s="184">
        <v>41724</v>
      </c>
      <c r="F118" s="189" t="s">
        <v>474</v>
      </c>
      <c r="G118" s="570" t="s">
        <v>475</v>
      </c>
      <c r="H118" s="7" t="s">
        <v>910</v>
      </c>
      <c r="I118" s="256">
        <v>1029</v>
      </c>
      <c r="J118" s="256">
        <v>12000</v>
      </c>
      <c r="K118" s="568">
        <f>ROUND(I118*J118,0)</f>
        <v>12348000</v>
      </c>
      <c r="L118" s="569" t="s">
        <v>253</v>
      </c>
      <c r="M118" s="569" t="s">
        <v>177</v>
      </c>
      <c r="N118" s="52" t="str">
        <f>IF(AND('331-CT'!$E$7=TH!H118,OR(L118="331",M118="331")),"331",IF(AND(OR(L118="131",M118="131"),H118='131-CT'!$E$7),"131",""))</f>
        <v/>
      </c>
      <c r="O118" s="89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15"/>
      <c r="AC118" s="211" t="str">
        <f>IF(F118=VLOOKUP(F118,NXT!$C$12:$C$345,1,0),"","x")</f>
        <v/>
      </c>
    </row>
    <row r="119" spans="1:31" s="560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41724</v>
      </c>
      <c r="D119" s="184" t="s">
        <v>933</v>
      </c>
      <c r="E119" s="37">
        <v>41724</v>
      </c>
      <c r="F119" s="189" t="s">
        <v>421</v>
      </c>
      <c r="G119" s="465" t="s">
        <v>475</v>
      </c>
      <c r="H119" s="7" t="s">
        <v>910</v>
      </c>
      <c r="I119" s="258"/>
      <c r="J119" s="256"/>
      <c r="K119" s="568">
        <v>1234800</v>
      </c>
      <c r="L119" s="569" t="s">
        <v>253</v>
      </c>
      <c r="M119" s="569" t="s">
        <v>365</v>
      </c>
      <c r="N119" s="52" t="str">
        <f>IF(AND('331-CT'!$E$7=TH!H119,OR(L119="331",M119="331")),"331",IF(AND(OR(L119="131",M119="131"),H119='131-CT'!$E$7),"131",""))</f>
        <v/>
      </c>
      <c r="O119" s="89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15"/>
      <c r="AC119" s="560" t="str">
        <f>IF(VLOOKUP(H119,DS_131,1,0)&lt;&gt;"","","x")</f>
        <v/>
      </c>
      <c r="AD119" s="211"/>
      <c r="AE119" s="211"/>
    </row>
    <row r="120" spans="1:31" s="560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41728</v>
      </c>
      <c r="D120" s="184" t="s">
        <v>934</v>
      </c>
      <c r="E120" s="37">
        <v>41728</v>
      </c>
      <c r="F120" s="189" t="s">
        <v>476</v>
      </c>
      <c r="G120" s="465" t="s">
        <v>477</v>
      </c>
      <c r="H120" s="7" t="s">
        <v>478</v>
      </c>
      <c r="I120" s="256">
        <v>400</v>
      </c>
      <c r="J120" s="258">
        <v>1260</v>
      </c>
      <c r="K120" s="568">
        <f>ROUND(I120*J120,0)</f>
        <v>504000</v>
      </c>
      <c r="L120" s="569" t="s">
        <v>253</v>
      </c>
      <c r="M120" s="569" t="s">
        <v>177</v>
      </c>
      <c r="N120" s="52" t="str">
        <f>IF(AND('331-CT'!$E$7=TH!H120,OR(L120="331",M120="331")),"331",IF(AND(OR(L120="131",M120="131"),H120='131-CT'!$E$7),"131",""))</f>
        <v/>
      </c>
      <c r="O120" s="89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15"/>
      <c r="AC120" s="211" t="str">
        <f>IF(F120=VLOOKUP(F120,NXT!$C$12:$C$345,1,0),"","x")</f>
        <v/>
      </c>
      <c r="AD120" s="211"/>
      <c r="AE120" s="211"/>
    </row>
    <row r="121" spans="1:31" s="560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3</v>
      </c>
      <c r="C121" s="184">
        <f t="shared" si="20"/>
        <v>41728</v>
      </c>
      <c r="D121" s="184" t="s">
        <v>934</v>
      </c>
      <c r="E121" s="37">
        <v>41728</v>
      </c>
      <c r="F121" s="189" t="s">
        <v>479</v>
      </c>
      <c r="G121" s="465" t="s">
        <v>477</v>
      </c>
      <c r="H121" s="7" t="s">
        <v>478</v>
      </c>
      <c r="I121" s="256">
        <v>600</v>
      </c>
      <c r="J121" s="258">
        <v>1300</v>
      </c>
      <c r="K121" s="568">
        <f>ROUND(I121*J121,0)</f>
        <v>780000</v>
      </c>
      <c r="L121" s="569" t="s">
        <v>253</v>
      </c>
      <c r="M121" s="569" t="s">
        <v>177</v>
      </c>
      <c r="N121" s="52" t="str">
        <f>IF(AND('331-CT'!$E$7=TH!H121,OR(L121="331",M121="331")),"331",IF(AND(OR(L121="131",M121="131"),H121='131-CT'!$E$7),"131",""))</f>
        <v/>
      </c>
      <c r="O121" s="89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15"/>
      <c r="AC121" s="211" t="str">
        <f>IF(F121=VLOOKUP(F121,NXT!$C$12:$C$345,1,0),"","x")</f>
        <v/>
      </c>
      <c r="AD121" s="211"/>
      <c r="AE121" s="211"/>
    </row>
    <row r="122" spans="1:31" s="560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41728</v>
      </c>
      <c r="D122" s="184" t="s">
        <v>934</v>
      </c>
      <c r="E122" s="37">
        <v>41728</v>
      </c>
      <c r="F122" s="189" t="s">
        <v>480</v>
      </c>
      <c r="G122" s="465" t="s">
        <v>477</v>
      </c>
      <c r="H122" s="7" t="s">
        <v>478</v>
      </c>
      <c r="I122" s="256">
        <v>400</v>
      </c>
      <c r="J122" s="258">
        <v>760</v>
      </c>
      <c r="K122" s="568">
        <f>ROUND(I122*J122,0)</f>
        <v>304000</v>
      </c>
      <c r="L122" s="569" t="s">
        <v>253</v>
      </c>
      <c r="M122" s="569" t="s">
        <v>177</v>
      </c>
      <c r="N122" s="52" t="str">
        <f>IF(AND('331-CT'!$E$7=TH!H122,OR(L122="331",M122="331")),"331",IF(AND(OR(L122="131",M122="131"),H122='131-CT'!$E$7),"131",""))</f>
        <v/>
      </c>
      <c r="O122" s="89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15"/>
      <c r="AC122" s="211" t="str">
        <f>IF(F122=VLOOKUP(F122,NXT!$C$12:$C$345,1,0),"","x")</f>
        <v/>
      </c>
      <c r="AD122" s="211"/>
      <c r="AE122" s="211"/>
    </row>
    <row r="123" spans="1:31" s="560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41728</v>
      </c>
      <c r="D123" s="184" t="s">
        <v>934</v>
      </c>
      <c r="E123" s="37">
        <v>41728</v>
      </c>
      <c r="F123" s="189" t="s">
        <v>481</v>
      </c>
      <c r="G123" s="465" t="s">
        <v>477</v>
      </c>
      <c r="H123" s="7" t="s">
        <v>478</v>
      </c>
      <c r="I123" s="256">
        <v>50</v>
      </c>
      <c r="J123" s="258">
        <v>11000</v>
      </c>
      <c r="K123" s="568">
        <f>ROUND(I123*J123,0)</f>
        <v>550000</v>
      </c>
      <c r="L123" s="569" t="s">
        <v>253</v>
      </c>
      <c r="M123" s="569" t="s">
        <v>177</v>
      </c>
      <c r="N123" s="52" t="str">
        <f>IF(AND('331-CT'!$E$7=TH!H123,OR(L123="331",M123="331")),"331",IF(AND(OR(L123="131",M123="131"),H123='131-CT'!$E$7),"131",""))</f>
        <v/>
      </c>
      <c r="O123" s="89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15"/>
      <c r="AC123" s="211" t="str">
        <f>IF(F123=VLOOKUP(F123,NXT!$C$12:$C$345,1,0),"","x")</f>
        <v/>
      </c>
      <c r="AD123" s="211"/>
      <c r="AE123" s="211"/>
    </row>
    <row r="124" spans="1:31" s="560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41728</v>
      </c>
      <c r="D124" s="184" t="s">
        <v>934</v>
      </c>
      <c r="E124" s="37">
        <v>41728</v>
      </c>
      <c r="F124" s="189" t="s">
        <v>421</v>
      </c>
      <c r="G124" s="465" t="s">
        <v>477</v>
      </c>
      <c r="H124" s="7" t="s">
        <v>478</v>
      </c>
      <c r="I124" s="256"/>
      <c r="J124" s="258"/>
      <c r="K124" s="568">
        <v>213800</v>
      </c>
      <c r="L124" s="569" t="s">
        <v>253</v>
      </c>
      <c r="M124" s="569" t="s">
        <v>365</v>
      </c>
      <c r="N124" s="52" t="str">
        <f>IF(AND('331-CT'!$E$7=TH!H124,OR(L124="331",M124="331")),"331",IF(AND(OR(L124="131",M124="131"),H124='131-CT'!$E$7),"131",""))</f>
        <v/>
      </c>
      <c r="O124" s="89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15"/>
      <c r="AC124" s="560" t="str">
        <f>IF(VLOOKUP(H124,DS_131,1,0)&lt;&gt;"","","x")</f>
        <v/>
      </c>
      <c r="AD124" s="211"/>
      <c r="AE124" s="211"/>
    </row>
    <row r="125" spans="1:31" s="560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41728</v>
      </c>
      <c r="D125" s="184" t="s">
        <v>935</v>
      </c>
      <c r="E125" s="37">
        <v>41728</v>
      </c>
      <c r="F125" s="189" t="s">
        <v>482</v>
      </c>
      <c r="G125" s="465" t="s">
        <v>483</v>
      </c>
      <c r="H125" s="7" t="s">
        <v>908</v>
      </c>
      <c r="I125" s="256">
        <v>500</v>
      </c>
      <c r="J125" s="258">
        <v>17800</v>
      </c>
      <c r="K125" s="568">
        <f>ROUND(I125*J125,0)</f>
        <v>8900000</v>
      </c>
      <c r="L125" s="569" t="s">
        <v>253</v>
      </c>
      <c r="M125" s="569" t="s">
        <v>177</v>
      </c>
      <c r="N125" s="52" t="str">
        <f>IF(AND('331-CT'!$E$7=TH!H125,OR(L125="331",M125="331")),"331",IF(AND(OR(L125="131",M125="131"),H125='131-CT'!$E$7),"131",""))</f>
        <v/>
      </c>
      <c r="O125" s="89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15"/>
      <c r="AC125" s="211" t="str">
        <f>IF(F125=VLOOKUP(F125,NXT!$C$12:$C$345,1,0),"","x")</f>
        <v/>
      </c>
      <c r="AD125" s="211"/>
      <c r="AE125" s="211"/>
    </row>
    <row r="126" spans="1:31" s="560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:B189" si="21">IF(C126&lt;&gt;"",MONTH(C126),"")</f>
        <v>3</v>
      </c>
      <c r="C126" s="184">
        <f t="shared" ref="C126:C189" si="22">E126</f>
        <v>41728</v>
      </c>
      <c r="D126" s="184" t="s">
        <v>935</v>
      </c>
      <c r="E126" s="730">
        <v>41728</v>
      </c>
      <c r="F126" s="40" t="s">
        <v>446</v>
      </c>
      <c r="G126" s="40" t="s">
        <v>483</v>
      </c>
      <c r="H126" s="7" t="s">
        <v>908</v>
      </c>
      <c r="I126" s="256">
        <v>1000</v>
      </c>
      <c r="J126" s="256">
        <v>1500</v>
      </c>
      <c r="K126" s="568">
        <f>ROUND(I126*J126,0)</f>
        <v>1500000</v>
      </c>
      <c r="L126" s="569" t="s">
        <v>253</v>
      </c>
      <c r="M126" s="569" t="s">
        <v>177</v>
      </c>
      <c r="N126" s="52" t="str">
        <f>IF(AND('331-CT'!$E$7=TH!H126,OR(L126="331",M126="331")),"331",IF(AND(OR(L126="131",M126="131"),H126='131-CT'!$E$7),"131",""))</f>
        <v/>
      </c>
      <c r="O126" s="89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15"/>
      <c r="AC126" s="211" t="str">
        <f>IF(F126=VLOOKUP(F126,NXT!$C$12:$C$345,1,0),"","x")</f>
        <v/>
      </c>
      <c r="AD126" s="211"/>
      <c r="AE126" s="211"/>
    </row>
    <row r="127" spans="1:31" s="560" customFormat="1" ht="15.75" customHeight="1">
      <c r="A127" s="204" t="str">
        <f>IF(B127&lt;&gt;"",IF(AND(B127&gt;=_TM1,B127&lt;=_TM2,OR(TH!L127="1111",TH!M127="1111")),TH!D127,""),"")</f>
        <v/>
      </c>
      <c r="B127" s="36">
        <f t="shared" si="21"/>
        <v>3</v>
      </c>
      <c r="C127" s="184">
        <f t="shared" si="22"/>
        <v>41728</v>
      </c>
      <c r="D127" s="184" t="s">
        <v>935</v>
      </c>
      <c r="E127" s="37">
        <v>41728</v>
      </c>
      <c r="F127" s="189" t="s">
        <v>421</v>
      </c>
      <c r="G127" s="465" t="s">
        <v>483</v>
      </c>
      <c r="H127" s="7" t="s">
        <v>908</v>
      </c>
      <c r="I127" s="256"/>
      <c r="J127" s="258"/>
      <c r="K127" s="568">
        <v>1015000</v>
      </c>
      <c r="L127" s="569" t="s">
        <v>253</v>
      </c>
      <c r="M127" s="569" t="s">
        <v>365</v>
      </c>
      <c r="N127" s="52" t="str">
        <f>IF(AND('331-CT'!$E$7=TH!H127,OR(L127="331",M127="331")),"331",IF(AND(OR(L127="131",M127="131"),H127='131-CT'!$E$7),"131",""))</f>
        <v/>
      </c>
      <c r="O127" s="89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15"/>
      <c r="AC127" s="560" t="str">
        <f>IF(VLOOKUP(H127,DS_131,1,0)&lt;&gt;"","","x")</f>
        <v/>
      </c>
      <c r="AD127" s="211"/>
      <c r="AE127" s="211"/>
    </row>
    <row r="128" spans="1:31" s="560" customFormat="1" ht="15.75" customHeight="1">
      <c r="A128" s="204" t="str">
        <f>IF(B128&lt;&gt;"",IF(AND(B128&gt;=_TM1,B128&lt;=_TM2,OR(TH!L128="1111",TH!M128="1111")),TH!D128,""),"")</f>
        <v/>
      </c>
      <c r="B128" s="36">
        <f t="shared" si="21"/>
        <v>4</v>
      </c>
      <c r="C128" s="184">
        <f t="shared" si="22"/>
        <v>41730</v>
      </c>
      <c r="D128" s="184" t="s">
        <v>912</v>
      </c>
      <c r="E128" s="37">
        <v>41730</v>
      </c>
      <c r="F128" s="189" t="s">
        <v>484</v>
      </c>
      <c r="G128" s="465" t="s">
        <v>485</v>
      </c>
      <c r="H128" s="7" t="s">
        <v>473</v>
      </c>
      <c r="I128" s="256">
        <v>302</v>
      </c>
      <c r="J128" s="258">
        <v>12900</v>
      </c>
      <c r="K128" s="568">
        <f>ROUND(I128*J128,0)</f>
        <v>3895800</v>
      </c>
      <c r="L128" s="569" t="s">
        <v>253</v>
      </c>
      <c r="M128" s="569" t="s">
        <v>177</v>
      </c>
      <c r="N128" s="52" t="str">
        <f>IF(AND('331-CT'!$E$7=TH!H128,OR(L128="331",M128="331")),"331",IF(AND(OR(L128="131",M128="131"),H128='131-CT'!$E$7),"131",""))</f>
        <v/>
      </c>
      <c r="O128" s="89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15"/>
      <c r="AC128" s="211" t="str">
        <f>IF(F128=VLOOKUP(F128,NXT!$C$12:$C$345,1,0),"","x")</f>
        <v/>
      </c>
      <c r="AD128" s="211"/>
      <c r="AE128" s="211"/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21"/>
        <v>4</v>
      </c>
      <c r="C129" s="184">
        <f t="shared" si="22"/>
        <v>41730</v>
      </c>
      <c r="D129" s="184" t="s">
        <v>912</v>
      </c>
      <c r="E129" s="37">
        <v>41730</v>
      </c>
      <c r="F129" s="189" t="s">
        <v>486</v>
      </c>
      <c r="G129" s="465" t="s">
        <v>485</v>
      </c>
      <c r="H129" s="7" t="s">
        <v>473</v>
      </c>
      <c r="I129" s="256">
        <v>300</v>
      </c>
      <c r="J129" s="258">
        <v>7000</v>
      </c>
      <c r="K129" s="568">
        <f>ROUND(I129*J129,0)</f>
        <v>2100000</v>
      </c>
      <c r="L129" s="569" t="s">
        <v>253</v>
      </c>
      <c r="M129" s="569" t="s">
        <v>177</v>
      </c>
      <c r="N129" s="52" t="str">
        <f>IF(AND('331-CT'!$E$7=TH!H129,OR(L129="331",M129="331")),"331",IF(AND(OR(L129="131",M129="131"),H129='131-CT'!$E$7),"131",""))</f>
        <v/>
      </c>
      <c r="O129" s="89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15"/>
      <c r="AC129" s="211" t="str">
        <f>IF(F129=VLOOKUP(F129,NXT!$C$12:$C$345,1,0),"","x")</f>
        <v/>
      </c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1"/>
        <v>4</v>
      </c>
      <c r="C130" s="184">
        <f t="shared" si="22"/>
        <v>41730</v>
      </c>
      <c r="D130" s="184" t="s">
        <v>912</v>
      </c>
      <c r="E130" s="37">
        <v>41730</v>
      </c>
      <c r="F130" s="189" t="s">
        <v>487</v>
      </c>
      <c r="G130" s="465" t="s">
        <v>485</v>
      </c>
      <c r="H130" s="7" t="s">
        <v>473</v>
      </c>
      <c r="I130" s="256">
        <v>402</v>
      </c>
      <c r="J130" s="258">
        <v>9900</v>
      </c>
      <c r="K130" s="568">
        <f>ROUND(I130*J130,0)</f>
        <v>3979800</v>
      </c>
      <c r="L130" s="569" t="s">
        <v>253</v>
      </c>
      <c r="M130" s="569" t="s">
        <v>177</v>
      </c>
      <c r="N130" s="52" t="str">
        <f>IF(AND('331-CT'!$E$7=TH!H130,OR(L130="331",M130="331")),"331",IF(AND(OR(L130="131",M130="131"),H130='131-CT'!$E$7),"131",""))</f>
        <v/>
      </c>
      <c r="O130" s="89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15"/>
      <c r="AC130" s="211" t="str">
        <f>IF(F130=VLOOKUP(F130,NXT!$C$12:$C$345,1,0),"","x")</f>
        <v/>
      </c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1"/>
        <v>4</v>
      </c>
      <c r="C131" s="184">
        <f t="shared" si="22"/>
        <v>41730</v>
      </c>
      <c r="D131" s="184" t="s">
        <v>912</v>
      </c>
      <c r="E131" s="37">
        <v>41730</v>
      </c>
      <c r="F131" s="189" t="s">
        <v>488</v>
      </c>
      <c r="G131" s="465" t="s">
        <v>485</v>
      </c>
      <c r="H131" s="7" t="s">
        <v>473</v>
      </c>
      <c r="I131" s="256">
        <v>550</v>
      </c>
      <c r="J131" s="258">
        <v>6400</v>
      </c>
      <c r="K131" s="568">
        <f>ROUND(I131*J131,0)</f>
        <v>3520000</v>
      </c>
      <c r="L131" s="569" t="s">
        <v>253</v>
      </c>
      <c r="M131" s="569" t="s">
        <v>177</v>
      </c>
      <c r="N131" s="52" t="str">
        <f>IF(AND('331-CT'!$E$7=TH!H131,OR(L131="331",M131="331")),"331",IF(AND(OR(L131="131",M131="131"),H131='131-CT'!$E$7),"131",""))</f>
        <v/>
      </c>
      <c r="O131" s="89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15"/>
      <c r="AC131" s="211" t="str">
        <f>IF(F131=VLOOKUP(F131,NXT!$C$12:$C$345,1,0),"","x")</f>
        <v/>
      </c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1"/>
        <v>4</v>
      </c>
      <c r="C132" s="184">
        <f t="shared" si="22"/>
        <v>41730</v>
      </c>
      <c r="D132" s="184" t="s">
        <v>912</v>
      </c>
      <c r="E132" s="37">
        <v>41730</v>
      </c>
      <c r="F132" s="782" t="s">
        <v>421</v>
      </c>
      <c r="G132" s="465" t="s">
        <v>485</v>
      </c>
      <c r="H132" s="7" t="s">
        <v>473</v>
      </c>
      <c r="I132" s="257"/>
      <c r="J132" s="258"/>
      <c r="K132" s="568">
        <v>1349560</v>
      </c>
      <c r="L132" s="569" t="s">
        <v>253</v>
      </c>
      <c r="M132" s="569" t="s">
        <v>365</v>
      </c>
      <c r="N132" s="52" t="str">
        <f>IF(AND('331-CT'!$E$7=TH!H132,OR(L132="331",M132="331")),"331",IF(AND(OR(L132="131",M132="131"),H132='131-CT'!$E$7),"131",""))</f>
        <v/>
      </c>
      <c r="O132" s="89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15"/>
      <c r="AC132" s="560" t="str">
        <f>IF(VLOOKUP(H132,DS_131,1,0)&lt;&gt;"","","x")</f>
        <v/>
      </c>
      <c r="AD132" s="560"/>
      <c r="AE132" s="560"/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1"/>
        <v>4</v>
      </c>
      <c r="C133" s="184">
        <f t="shared" si="22"/>
        <v>41730</v>
      </c>
      <c r="D133" s="184" t="s">
        <v>913</v>
      </c>
      <c r="E133" s="37">
        <v>41730</v>
      </c>
      <c r="F133" s="189" t="s">
        <v>489</v>
      </c>
      <c r="G133" s="465" t="s">
        <v>490</v>
      </c>
      <c r="H133" s="7" t="s">
        <v>491</v>
      </c>
      <c r="I133" s="257">
        <v>260</v>
      </c>
      <c r="J133" s="258">
        <v>14300</v>
      </c>
      <c r="K133" s="568">
        <f>ROUND(I133*J133,0)</f>
        <v>3718000</v>
      </c>
      <c r="L133" s="569" t="s">
        <v>253</v>
      </c>
      <c r="M133" s="569" t="s">
        <v>177</v>
      </c>
      <c r="N133" s="52" t="str">
        <f>IF(AND('331-CT'!$E$7=TH!H133,OR(L133="331",M133="331")),"331",IF(AND(OR(L133="131",M133="131"),H133='131-CT'!$E$7),"131",""))</f>
        <v/>
      </c>
      <c r="O133" s="89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15"/>
      <c r="AC133" s="211" t="str">
        <f>IF(F133=VLOOKUP(F133,NXT!$C$12:$C$345,1,0),"","x")</f>
        <v/>
      </c>
      <c r="AD133" s="560"/>
      <c r="AE133" s="560"/>
    </row>
    <row r="134" spans="1:31" s="560" customFormat="1" ht="15.75" customHeight="1">
      <c r="A134" s="204" t="str">
        <f>IF(B134&lt;&gt;"",IF(AND(B134&gt;=_TM1,B134&lt;=_TM2,OR(TH!L134="1111",TH!M134="1111")),TH!D134,""),"")</f>
        <v/>
      </c>
      <c r="B134" s="36">
        <f t="shared" si="21"/>
        <v>4</v>
      </c>
      <c r="C134" s="184">
        <f t="shared" si="22"/>
        <v>41730</v>
      </c>
      <c r="D134" s="184" t="s">
        <v>913</v>
      </c>
      <c r="E134" s="37">
        <v>41730</v>
      </c>
      <c r="F134" s="189" t="s">
        <v>492</v>
      </c>
      <c r="G134" s="465" t="s">
        <v>490</v>
      </c>
      <c r="H134" s="7" t="s">
        <v>491</v>
      </c>
      <c r="I134" s="256">
        <v>2100</v>
      </c>
      <c r="J134" s="258">
        <v>2300</v>
      </c>
      <c r="K134" s="568">
        <f>ROUND(I134*J134,0)</f>
        <v>4830000</v>
      </c>
      <c r="L134" s="569" t="s">
        <v>253</v>
      </c>
      <c r="M134" s="569" t="s">
        <v>177</v>
      </c>
      <c r="N134" s="52" t="str">
        <f>IF(AND('331-CT'!$E$7=TH!H134,OR(L134="331",M134="331")),"331",IF(AND(OR(L134="131",M134="131"),H134='131-CT'!$E$7),"131",""))</f>
        <v/>
      </c>
      <c r="O134" s="89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15"/>
      <c r="AC134" s="211" t="str">
        <f>IF(F134=VLOOKUP(F134,NXT!$C$12:$C$345,1,0),"","x")</f>
        <v/>
      </c>
    </row>
    <row r="135" spans="1:31" s="560" customFormat="1" ht="15.75" customHeight="1">
      <c r="A135" s="204" t="str">
        <f>IF(B135&lt;&gt;"",IF(AND(B135&gt;=_TM1,B135&lt;=_TM2,OR(TH!L135="1111",TH!M135="1111")),TH!D135,""),"")</f>
        <v/>
      </c>
      <c r="B135" s="36">
        <f t="shared" si="21"/>
        <v>4</v>
      </c>
      <c r="C135" s="184">
        <f t="shared" si="22"/>
        <v>41730</v>
      </c>
      <c r="D135" s="184" t="s">
        <v>913</v>
      </c>
      <c r="E135" s="37">
        <v>41730</v>
      </c>
      <c r="F135" s="189" t="s">
        <v>421</v>
      </c>
      <c r="G135" s="465" t="s">
        <v>490</v>
      </c>
      <c r="H135" s="7" t="s">
        <v>491</v>
      </c>
      <c r="I135" s="258"/>
      <c r="J135" s="258"/>
      <c r="K135" s="38">
        <v>854800</v>
      </c>
      <c r="L135" s="569" t="s">
        <v>253</v>
      </c>
      <c r="M135" s="569" t="s">
        <v>365</v>
      </c>
      <c r="N135" s="52" t="str">
        <f>IF(AND('331-CT'!$E$7=TH!H135,OR(L135="331",M135="331")),"331",IF(AND(OR(L135="131",M135="131"),H135='131-CT'!$E$7),"131",""))</f>
        <v/>
      </c>
      <c r="O135" s="89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15"/>
      <c r="AC135" s="560" t="str">
        <f>IF(VLOOKUP(H135,DS_131,1,0)&lt;&gt;"","","x")</f>
        <v/>
      </c>
      <c r="AD135" s="211"/>
      <c r="AE135" s="211"/>
    </row>
    <row r="136" spans="1:31" s="560" customFormat="1" ht="15.75" customHeight="1">
      <c r="A136" s="204" t="str">
        <f>IF(B136&lt;&gt;"",IF(AND(B136&gt;=_TM1,B136&lt;=_TM2,OR(TH!L136="1111",TH!M136="1111")),TH!D136,""),"")</f>
        <v/>
      </c>
      <c r="B136" s="36">
        <f t="shared" si="21"/>
        <v>4</v>
      </c>
      <c r="C136" s="184">
        <f t="shared" si="22"/>
        <v>41733</v>
      </c>
      <c r="D136" s="184" t="s">
        <v>914</v>
      </c>
      <c r="E136" s="37">
        <v>41733</v>
      </c>
      <c r="F136" s="189" t="s">
        <v>493</v>
      </c>
      <c r="G136" s="570" t="s">
        <v>494</v>
      </c>
      <c r="H136" s="7" t="s">
        <v>909</v>
      </c>
      <c r="I136" s="256">
        <v>325</v>
      </c>
      <c r="J136" s="256">
        <v>8300</v>
      </c>
      <c r="K136" s="568">
        <f>ROUND(I136*J136,0)</f>
        <v>2697500</v>
      </c>
      <c r="L136" s="569" t="s">
        <v>253</v>
      </c>
      <c r="M136" s="569" t="s">
        <v>177</v>
      </c>
      <c r="N136" s="52" t="str">
        <f>IF(AND('331-CT'!$E$7=TH!H136,OR(L136="331",M136="331")),"331",IF(AND(OR(L136="131",M136="131"),H136='131-CT'!$E$7),"131",""))</f>
        <v/>
      </c>
      <c r="O136" s="89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15"/>
      <c r="AC136" s="211" t="str">
        <f>IF(F136=VLOOKUP(F136,NXT!$C$12:$C$345,1,0),"","x")</f>
        <v/>
      </c>
    </row>
    <row r="137" spans="1:31" s="560" customFormat="1" ht="15.75" customHeight="1">
      <c r="A137" s="204" t="str">
        <f>IF(B137&lt;&gt;"",IF(AND(B137&gt;=_TM1,B137&lt;=_TM2,OR(TH!L137="1111",TH!M137="1111")),TH!D137,""),"")</f>
        <v/>
      </c>
      <c r="B137" s="36">
        <f t="shared" si="21"/>
        <v>4</v>
      </c>
      <c r="C137" s="184">
        <f t="shared" si="22"/>
        <v>41733</v>
      </c>
      <c r="D137" s="184" t="s">
        <v>914</v>
      </c>
      <c r="E137" s="37">
        <v>41733</v>
      </c>
      <c r="F137" s="189" t="s">
        <v>495</v>
      </c>
      <c r="G137" s="570" t="s">
        <v>494</v>
      </c>
      <c r="H137" s="7" t="s">
        <v>909</v>
      </c>
      <c r="I137" s="256">
        <v>577</v>
      </c>
      <c r="J137" s="256">
        <v>8600</v>
      </c>
      <c r="K137" s="568">
        <f>ROUND(I137*J137,0)</f>
        <v>4962200</v>
      </c>
      <c r="L137" s="569" t="s">
        <v>253</v>
      </c>
      <c r="M137" s="569" t="s">
        <v>177</v>
      </c>
      <c r="N137" s="52" t="str">
        <f>IF(AND('331-CT'!$E$7=TH!H137,OR(L137="331",M137="331")),"331",IF(AND(OR(L137="131",M137="131"),H137='131-CT'!$E$7),"131",""))</f>
        <v/>
      </c>
      <c r="O137" s="89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15"/>
      <c r="AC137" s="211" t="str">
        <f>IF(F137=VLOOKUP(F137,NXT!$C$12:$C$345,1,0),"","x")</f>
        <v/>
      </c>
    </row>
    <row r="138" spans="1:31" s="560" customFormat="1" ht="15.75" customHeight="1">
      <c r="A138" s="204" t="str">
        <f>IF(B138&lt;&gt;"",IF(AND(B138&gt;=_TM1,B138&lt;=_TM2,OR(TH!L138="1111",TH!M138="1111")),TH!D138,""),"")</f>
        <v/>
      </c>
      <c r="B138" s="36">
        <f t="shared" si="21"/>
        <v>4</v>
      </c>
      <c r="C138" s="184">
        <f t="shared" si="22"/>
        <v>41733</v>
      </c>
      <c r="D138" s="184" t="s">
        <v>914</v>
      </c>
      <c r="E138" s="37">
        <v>41733</v>
      </c>
      <c r="F138" s="40" t="s">
        <v>421</v>
      </c>
      <c r="G138" s="465" t="s">
        <v>494</v>
      </c>
      <c r="H138" s="7" t="s">
        <v>909</v>
      </c>
      <c r="I138" s="256"/>
      <c r="J138" s="256"/>
      <c r="K138" s="568">
        <v>765970</v>
      </c>
      <c r="L138" s="569" t="s">
        <v>253</v>
      </c>
      <c r="M138" s="569" t="s">
        <v>365</v>
      </c>
      <c r="N138" s="52" t="str">
        <f>IF(AND('331-CT'!$E$7=TH!H138,OR(L138="331",M138="331")),"331",IF(AND(OR(L138="131",M138="131"),H138='131-CT'!$E$7),"131",""))</f>
        <v/>
      </c>
      <c r="O138" s="89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15"/>
      <c r="AC138" s="560" t="str">
        <f>IF(VLOOKUP(H138,DS_131,1,0)&lt;&gt;"","","x")</f>
        <v/>
      </c>
    </row>
    <row r="139" spans="1:31" s="560" customFormat="1" ht="15.75" customHeight="1">
      <c r="A139" s="204" t="str">
        <f>IF(B139&lt;&gt;"",IF(AND(B139&gt;=_TM1,B139&lt;=_TM2,OR(TH!L139="1111",TH!M139="1111")),TH!D139,""),"")</f>
        <v/>
      </c>
      <c r="B139" s="36">
        <f t="shared" si="21"/>
        <v>4</v>
      </c>
      <c r="C139" s="184">
        <f t="shared" si="22"/>
        <v>41740</v>
      </c>
      <c r="D139" s="184" t="s">
        <v>915</v>
      </c>
      <c r="E139" s="37">
        <v>41740</v>
      </c>
      <c r="F139" s="40" t="s">
        <v>437</v>
      </c>
      <c r="G139" s="465" t="s">
        <v>496</v>
      </c>
      <c r="H139" s="45" t="s">
        <v>439</v>
      </c>
      <c r="I139" s="256">
        <v>720</v>
      </c>
      <c r="J139" s="256">
        <v>10500</v>
      </c>
      <c r="K139" s="568">
        <f>ROUND(I139*J139,0)</f>
        <v>7560000</v>
      </c>
      <c r="L139" s="569" t="s">
        <v>253</v>
      </c>
      <c r="M139" s="569" t="s">
        <v>177</v>
      </c>
      <c r="N139" s="52" t="str">
        <f>IF(AND('331-CT'!$E$7=TH!H139,OR(L139="331",M139="331")),"331",IF(AND(OR(L139="131",M139="131"),H139='131-CT'!$E$7),"131",""))</f>
        <v/>
      </c>
      <c r="O139" s="89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15"/>
      <c r="AC139" s="211" t="str">
        <f>IF(F139=VLOOKUP(F139,NXT!$C$12:$C$345,1,0),"","x")</f>
        <v/>
      </c>
    </row>
    <row r="140" spans="1:31" s="560" customFormat="1" ht="15.75" customHeight="1">
      <c r="A140" s="204" t="str">
        <f>IF(B140&lt;&gt;"",IF(AND(B140&gt;=_TM1,B140&lt;=_TM2,OR(TH!L140="1111",TH!M140="1111")),TH!D140,""),"")</f>
        <v/>
      </c>
      <c r="B140" s="36">
        <f t="shared" si="21"/>
        <v>4</v>
      </c>
      <c r="C140" s="184">
        <f t="shared" si="22"/>
        <v>41740</v>
      </c>
      <c r="D140" s="184" t="s">
        <v>915</v>
      </c>
      <c r="E140" s="37">
        <v>41740</v>
      </c>
      <c r="F140" s="40" t="s">
        <v>497</v>
      </c>
      <c r="G140" s="465" t="s">
        <v>496</v>
      </c>
      <c r="H140" s="45" t="s">
        <v>439</v>
      </c>
      <c r="I140" s="256">
        <v>340</v>
      </c>
      <c r="J140" s="256">
        <v>8500</v>
      </c>
      <c r="K140" s="568">
        <f>ROUND(I140*J140,0)</f>
        <v>2890000</v>
      </c>
      <c r="L140" s="569" t="s">
        <v>253</v>
      </c>
      <c r="M140" s="569" t="s">
        <v>177</v>
      </c>
      <c r="N140" s="52" t="str">
        <f>IF(AND('331-CT'!$E$7=TH!H140,OR(L140="331",M140="331")),"331",IF(AND(OR(L140="131",M140="131"),H140='131-CT'!$E$7),"131",""))</f>
        <v/>
      </c>
      <c r="O140" s="89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15"/>
      <c r="AC140" s="211" t="str">
        <f>IF(F140=VLOOKUP(F140,NXT!$C$12:$C$345,1,0),"","x")</f>
        <v/>
      </c>
    </row>
    <row r="141" spans="1:31" s="560" customFormat="1" ht="15.75" customHeight="1">
      <c r="A141" s="204" t="str">
        <f>IF(B141&lt;&gt;"",IF(AND(B141&gt;=_TM1,B141&lt;=_TM2,OR(TH!L141="1111",TH!M141="1111")),TH!D141,""),"")</f>
        <v/>
      </c>
      <c r="B141" s="36">
        <f t="shared" si="21"/>
        <v>4</v>
      </c>
      <c r="C141" s="184">
        <f t="shared" si="22"/>
        <v>41740</v>
      </c>
      <c r="D141" s="184" t="s">
        <v>915</v>
      </c>
      <c r="E141" s="37">
        <v>41740</v>
      </c>
      <c r="F141" s="296" t="s">
        <v>421</v>
      </c>
      <c r="G141" s="465" t="s">
        <v>496</v>
      </c>
      <c r="H141" s="7" t="s">
        <v>439</v>
      </c>
      <c r="I141" s="256"/>
      <c r="J141" s="258"/>
      <c r="K141" s="568">
        <v>1045000</v>
      </c>
      <c r="L141" s="569" t="s">
        <v>253</v>
      </c>
      <c r="M141" s="569" t="s">
        <v>365</v>
      </c>
      <c r="N141" s="52" t="str">
        <f>IF(AND('331-CT'!$E$7=TH!H141,OR(L141="331",M141="331")),"331",IF(AND(OR(L141="131",M141="131"),H141='131-CT'!$E$7),"131",""))</f>
        <v/>
      </c>
      <c r="O141" s="89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15"/>
      <c r="AC141" s="560" t="str">
        <f>IF(VLOOKUP(H141,DS_131,1,0)&lt;&gt;"","","x")</f>
        <v/>
      </c>
    </row>
    <row r="142" spans="1:31" s="560" customFormat="1" ht="15.75" customHeight="1">
      <c r="A142" s="204" t="str">
        <f>IF(B142&lt;&gt;"",IF(AND(B142&gt;=_TM1,B142&lt;=_TM2,OR(TH!L142="1111",TH!M142="1111")),TH!D142,""),"")</f>
        <v/>
      </c>
      <c r="B142" s="36">
        <f t="shared" si="21"/>
        <v>4</v>
      </c>
      <c r="C142" s="184">
        <f t="shared" si="22"/>
        <v>41744</v>
      </c>
      <c r="D142" s="184" t="s">
        <v>916</v>
      </c>
      <c r="E142" s="37">
        <v>41744</v>
      </c>
      <c r="F142" s="189" t="s">
        <v>498</v>
      </c>
      <c r="G142" s="465" t="s">
        <v>499</v>
      </c>
      <c r="H142" s="7" t="s">
        <v>470</v>
      </c>
      <c r="I142" s="258">
        <v>100</v>
      </c>
      <c r="J142" s="258">
        <v>6100</v>
      </c>
      <c r="K142" s="568">
        <f>ROUND(I142*J142,0)</f>
        <v>610000</v>
      </c>
      <c r="L142" s="569" t="s">
        <v>253</v>
      </c>
      <c r="M142" s="569" t="s">
        <v>177</v>
      </c>
      <c r="N142" s="52" t="str">
        <f>IF(AND('331-CT'!$E$7=TH!H142,OR(L142="331",M142="331")),"331",IF(AND(OR(L142="131",M142="131"),H142='131-CT'!$E$7),"131",""))</f>
        <v/>
      </c>
      <c r="O142" s="89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15"/>
      <c r="AC142" s="211" t="str">
        <f>IF(F142=VLOOKUP(F142,NXT!$C$12:$C$345,1,0),"","x")</f>
        <v/>
      </c>
      <c r="AD142" s="211"/>
      <c r="AE142" s="211"/>
    </row>
    <row r="143" spans="1:31" s="560" customFormat="1" ht="15.75" customHeight="1">
      <c r="A143" s="204" t="str">
        <f>IF(B143&lt;&gt;"",IF(AND(B143&gt;=_TM1,B143&lt;=_TM2,OR(TH!L143="1111",TH!M143="1111")),TH!D143,""),"")</f>
        <v/>
      </c>
      <c r="B143" s="36">
        <f t="shared" si="21"/>
        <v>4</v>
      </c>
      <c r="C143" s="184">
        <f t="shared" si="22"/>
        <v>41744</v>
      </c>
      <c r="D143" s="184" t="s">
        <v>916</v>
      </c>
      <c r="E143" s="191">
        <v>41744</v>
      </c>
      <c r="F143" s="189" t="s">
        <v>421</v>
      </c>
      <c r="G143" s="570" t="s">
        <v>499</v>
      </c>
      <c r="H143" s="7" t="s">
        <v>470</v>
      </c>
      <c r="I143" s="256"/>
      <c r="J143" s="256"/>
      <c r="K143" s="568">
        <v>61000</v>
      </c>
      <c r="L143" s="569" t="s">
        <v>253</v>
      </c>
      <c r="M143" s="569" t="s">
        <v>365</v>
      </c>
      <c r="N143" s="52" t="str">
        <f>IF(AND('331-CT'!$E$7=TH!H143,OR(L143="331",M143="331")),"331",IF(AND(OR(L143="131",M143="131"),H143='131-CT'!$E$7),"131",""))</f>
        <v/>
      </c>
      <c r="O143" s="89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15"/>
      <c r="AC143" s="560" t="str">
        <f>IF(VLOOKUP(H143,DS_131,1,0)&lt;&gt;"","","x")</f>
        <v/>
      </c>
      <c r="AD143" s="211"/>
      <c r="AE143" s="211"/>
    </row>
    <row r="144" spans="1:31" s="560" customFormat="1" ht="15.75" customHeight="1">
      <c r="A144" s="204" t="str">
        <f>IF(B144&lt;&gt;"",IF(AND(B144&gt;=_TM1,B144&lt;=_TM2,OR(TH!L144="1111",TH!M144="1111")),TH!D144,""),"")</f>
        <v/>
      </c>
      <c r="B144" s="36">
        <f t="shared" si="21"/>
        <v>4</v>
      </c>
      <c r="C144" s="184">
        <f t="shared" si="22"/>
        <v>41746</v>
      </c>
      <c r="D144" s="184" t="s">
        <v>917</v>
      </c>
      <c r="E144" s="191">
        <v>41746</v>
      </c>
      <c r="F144" s="189" t="s">
        <v>460</v>
      </c>
      <c r="G144" s="570" t="s">
        <v>500</v>
      </c>
      <c r="H144" s="7" t="s">
        <v>462</v>
      </c>
      <c r="I144" s="256">
        <v>1015</v>
      </c>
      <c r="J144" s="256">
        <v>8740</v>
      </c>
      <c r="K144" s="568">
        <f>ROUND(I144*J144,0)</f>
        <v>8871100</v>
      </c>
      <c r="L144" s="569" t="s">
        <v>253</v>
      </c>
      <c r="M144" s="569" t="s">
        <v>177</v>
      </c>
      <c r="N144" s="52" t="str">
        <f>IF(AND('331-CT'!$E$7=TH!H144,OR(L144="331",M144="331")),"331",IF(AND(OR(L144="131",M144="131"),H144='131-CT'!$E$7),"131",""))</f>
        <v/>
      </c>
      <c r="O144" s="89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15"/>
      <c r="AC144" s="211" t="str">
        <f>IF(F144=VLOOKUP(F144,NXT!$C$12:$C$345,1,0),"","x")</f>
        <v/>
      </c>
      <c r="AD144" s="211"/>
      <c r="AE144" s="211"/>
    </row>
    <row r="145" spans="1:31" s="560" customFormat="1" ht="15.75" customHeight="1">
      <c r="A145" s="204" t="str">
        <f>IF(B145&lt;&gt;"",IF(AND(B145&gt;=_TM1,B145&lt;=_TM2,OR(TH!L145="1111",TH!M145="1111")),TH!D145,""),"")</f>
        <v/>
      </c>
      <c r="B145" s="36">
        <f t="shared" si="21"/>
        <v>4</v>
      </c>
      <c r="C145" s="184">
        <f t="shared" si="22"/>
        <v>41746</v>
      </c>
      <c r="D145" s="184" t="s">
        <v>917</v>
      </c>
      <c r="E145" s="191">
        <v>41746</v>
      </c>
      <c r="F145" s="296" t="s">
        <v>421</v>
      </c>
      <c r="G145" s="570" t="s">
        <v>500</v>
      </c>
      <c r="H145" s="7" t="s">
        <v>462</v>
      </c>
      <c r="I145" s="256"/>
      <c r="J145" s="256"/>
      <c r="K145" s="568">
        <v>887110</v>
      </c>
      <c r="L145" s="569" t="s">
        <v>253</v>
      </c>
      <c r="M145" s="569" t="s">
        <v>365</v>
      </c>
      <c r="N145" s="52" t="str">
        <f>IF(AND('331-CT'!$E$7=TH!H145,OR(L145="331",M145="331")),"331",IF(AND(OR(L145="131",M145="131"),H145='131-CT'!$E$7),"131",""))</f>
        <v/>
      </c>
      <c r="O145" s="89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15"/>
      <c r="AC145" s="560" t="str">
        <f>IF(VLOOKUP(H145,DS_131,1,0)&lt;&gt;"","","x")</f>
        <v/>
      </c>
      <c r="AD145" s="211"/>
      <c r="AE145" s="211"/>
    </row>
    <row r="146" spans="1:31" s="560" customFormat="1" ht="15.75" customHeight="1">
      <c r="A146" s="204" t="str">
        <f>IF(B146&lt;&gt;"",IF(AND(B146&gt;=_TM1,B146&lt;=_TM2,OR(TH!L146="1111",TH!M146="1111")),TH!D146,""),"")</f>
        <v/>
      </c>
      <c r="B146" s="36">
        <f t="shared" si="21"/>
        <v>4</v>
      </c>
      <c r="C146" s="184">
        <f t="shared" si="22"/>
        <v>41746</v>
      </c>
      <c r="D146" s="184" t="s">
        <v>918</v>
      </c>
      <c r="E146" s="191">
        <v>41746</v>
      </c>
      <c r="F146" s="189" t="s">
        <v>501</v>
      </c>
      <c r="G146" s="570" t="s">
        <v>502</v>
      </c>
      <c r="H146" s="7" t="s">
        <v>503</v>
      </c>
      <c r="I146" s="256">
        <v>436</v>
      </c>
      <c r="J146" s="256">
        <v>5900</v>
      </c>
      <c r="K146" s="568">
        <f>ROUND(I146*J146,0)</f>
        <v>2572400</v>
      </c>
      <c r="L146" s="569" t="s">
        <v>253</v>
      </c>
      <c r="M146" s="569" t="s">
        <v>177</v>
      </c>
      <c r="N146" s="52" t="str">
        <f>IF(AND('331-CT'!$E$7=TH!H146,OR(L146="331",M146="331")),"331",IF(AND(OR(L146="131",M146="131"),H146='131-CT'!$E$7),"131",""))</f>
        <v/>
      </c>
      <c r="O146" s="89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15"/>
      <c r="AC146" s="211" t="str">
        <f>IF(F146=VLOOKUP(F146,NXT!$C$12:$C$345,1,0),"","x")</f>
        <v/>
      </c>
      <c r="AD146" s="211"/>
      <c r="AE146" s="211"/>
    </row>
    <row r="147" spans="1:31" s="560" customFormat="1" ht="15.75" customHeight="1">
      <c r="A147" s="204" t="str">
        <f>IF(B147&lt;&gt;"",IF(AND(B147&gt;=_TM1,B147&lt;=_TM2,OR(TH!L147="1111",TH!M147="1111")),TH!D147,""),"")</f>
        <v/>
      </c>
      <c r="B147" s="36">
        <f t="shared" si="21"/>
        <v>4</v>
      </c>
      <c r="C147" s="184">
        <f t="shared" si="22"/>
        <v>41746</v>
      </c>
      <c r="D147" s="184" t="s">
        <v>918</v>
      </c>
      <c r="E147" s="191">
        <v>41746</v>
      </c>
      <c r="F147" s="189" t="s">
        <v>504</v>
      </c>
      <c r="G147" s="570" t="s">
        <v>502</v>
      </c>
      <c r="H147" s="7" t="s">
        <v>503</v>
      </c>
      <c r="I147" s="256">
        <v>302</v>
      </c>
      <c r="J147" s="256">
        <v>6250</v>
      </c>
      <c r="K147" s="568">
        <f>ROUND(I147*J147,0)</f>
        <v>1887500</v>
      </c>
      <c r="L147" s="569" t="s">
        <v>253</v>
      </c>
      <c r="M147" s="569" t="s">
        <v>177</v>
      </c>
      <c r="N147" s="52" t="str">
        <f>IF(AND('331-CT'!$E$7=TH!H147,OR(L147="331",M147="331")),"331",IF(AND(OR(L147="131",M147="131"),H147='131-CT'!$E$7),"131",""))</f>
        <v/>
      </c>
      <c r="O147" s="89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15"/>
      <c r="AC147" s="211" t="str">
        <f>IF(F147=VLOOKUP(F147,NXT!$C$12:$C$345,1,0),"","x")</f>
        <v/>
      </c>
      <c r="AD147" s="211"/>
      <c r="AE147" s="211"/>
    </row>
    <row r="148" spans="1:31" s="560" customFormat="1" ht="15.75" customHeight="1">
      <c r="A148" s="204" t="str">
        <f>IF(B148&lt;&gt;"",IF(AND(B148&gt;=_TM1,B148&lt;=_TM2,OR(TH!L148="1111",TH!M148="1111")),TH!D148,""),"")</f>
        <v/>
      </c>
      <c r="B148" s="36">
        <f t="shared" si="21"/>
        <v>4</v>
      </c>
      <c r="C148" s="184">
        <f t="shared" si="22"/>
        <v>41746</v>
      </c>
      <c r="D148" s="184" t="s">
        <v>918</v>
      </c>
      <c r="E148" s="191">
        <v>41746</v>
      </c>
      <c r="F148" s="189" t="s">
        <v>505</v>
      </c>
      <c r="G148" s="570" t="s">
        <v>502</v>
      </c>
      <c r="H148" s="7" t="s">
        <v>503</v>
      </c>
      <c r="I148" s="256">
        <v>303</v>
      </c>
      <c r="J148" s="256">
        <v>6550</v>
      </c>
      <c r="K148" s="568">
        <f>ROUND(I148*J148,0)</f>
        <v>1984650</v>
      </c>
      <c r="L148" s="569" t="s">
        <v>253</v>
      </c>
      <c r="M148" s="569" t="s">
        <v>177</v>
      </c>
      <c r="N148" s="52" t="str">
        <f>IF(AND('331-CT'!$E$7=TH!H148,OR(L148="331",M148="331")),"331",IF(AND(OR(L148="131",M148="131"),H148='131-CT'!$E$7),"131",""))</f>
        <v/>
      </c>
      <c r="O148" s="89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15"/>
      <c r="AC148" s="211" t="str">
        <f>IF(F148=VLOOKUP(F148,NXT!$C$12:$C$345,1,0),"","x")</f>
        <v/>
      </c>
      <c r="AD148" s="211"/>
      <c r="AE148" s="211"/>
    </row>
    <row r="149" spans="1:31" s="560" customFormat="1" ht="15.75" customHeight="1">
      <c r="A149" s="204" t="str">
        <f>IF(B149&lt;&gt;"",IF(AND(B149&gt;=_TM1,B149&lt;=_TM2,OR(TH!L149="1111",TH!M149="1111")),TH!D149,""),"")</f>
        <v/>
      </c>
      <c r="B149" s="36">
        <f t="shared" si="21"/>
        <v>4</v>
      </c>
      <c r="C149" s="184">
        <f t="shared" si="22"/>
        <v>41746</v>
      </c>
      <c r="D149" s="184" t="s">
        <v>918</v>
      </c>
      <c r="E149" s="191">
        <v>41746</v>
      </c>
      <c r="F149" s="189" t="s">
        <v>406</v>
      </c>
      <c r="G149" s="570" t="s">
        <v>502</v>
      </c>
      <c r="H149" s="7" t="s">
        <v>503</v>
      </c>
      <c r="I149" s="256">
        <v>200</v>
      </c>
      <c r="J149" s="256">
        <v>6800</v>
      </c>
      <c r="K149" s="568">
        <f>ROUND(I149*J149,0)</f>
        <v>1360000</v>
      </c>
      <c r="L149" s="569" t="s">
        <v>253</v>
      </c>
      <c r="M149" s="569" t="s">
        <v>177</v>
      </c>
      <c r="N149" s="52" t="str">
        <f>IF(AND('331-CT'!$E$7=TH!H149,OR(L149="331",M149="331")),"331",IF(AND(OR(L149="131",M149="131"),H149='131-CT'!$E$7),"131",""))</f>
        <v/>
      </c>
      <c r="O149" s="89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15"/>
      <c r="AC149" s="211" t="str">
        <f>IF(F149=VLOOKUP(F149,NXT!$C$12:$C$345,1,0),"","x")</f>
        <v/>
      </c>
      <c r="AD149" s="211"/>
      <c r="AE149" s="211"/>
    </row>
    <row r="150" spans="1:31" s="560" customFormat="1" ht="15.75" customHeight="1">
      <c r="A150" s="204" t="str">
        <f>IF(B150&lt;&gt;"",IF(AND(B150&gt;=_TM1,B150&lt;=_TM2,OR(TH!L150="1111",TH!M150="1111")),TH!D150,""),"")</f>
        <v/>
      </c>
      <c r="B150" s="36">
        <f t="shared" si="21"/>
        <v>4</v>
      </c>
      <c r="C150" s="184">
        <f t="shared" si="22"/>
        <v>41746</v>
      </c>
      <c r="D150" s="184" t="s">
        <v>918</v>
      </c>
      <c r="E150" s="191">
        <v>41746</v>
      </c>
      <c r="F150" s="189" t="s">
        <v>421</v>
      </c>
      <c r="G150" s="570" t="s">
        <v>502</v>
      </c>
      <c r="H150" s="7" t="s">
        <v>503</v>
      </c>
      <c r="I150" s="256"/>
      <c r="J150" s="256"/>
      <c r="K150" s="568">
        <v>780455</v>
      </c>
      <c r="L150" s="569" t="s">
        <v>253</v>
      </c>
      <c r="M150" s="569" t="s">
        <v>365</v>
      </c>
      <c r="N150" s="52" t="str">
        <f>IF(AND('331-CT'!$E$7=TH!H150,OR(L150="331",M150="331")),"331",IF(AND(OR(L150="131",M150="131"),H150='131-CT'!$E$7),"131",""))</f>
        <v/>
      </c>
      <c r="O150" s="89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15"/>
      <c r="AC150" s="560" t="str">
        <f>IF(VLOOKUP(H150,DS_131,1,0)&lt;&gt;"","","x")</f>
        <v/>
      </c>
      <c r="AD150" s="211"/>
      <c r="AE150" s="211"/>
    </row>
    <row r="151" spans="1:31" s="560" customFormat="1" ht="15.75" customHeight="1">
      <c r="A151" s="204" t="str">
        <f>IF(B151&lt;&gt;"",IF(AND(B151&gt;=_TM1,B151&lt;=_TM2,OR(TH!L151="1111",TH!M151="1111")),TH!D151,""),"")</f>
        <v/>
      </c>
      <c r="B151" s="36">
        <f t="shared" si="21"/>
        <v>4</v>
      </c>
      <c r="C151" s="184">
        <f t="shared" si="22"/>
        <v>41748</v>
      </c>
      <c r="D151" s="184" t="s">
        <v>919</v>
      </c>
      <c r="E151" s="191">
        <v>41748</v>
      </c>
      <c r="F151" s="189" t="s">
        <v>418</v>
      </c>
      <c r="G151" s="570" t="s">
        <v>506</v>
      </c>
      <c r="H151" s="7" t="s">
        <v>420</v>
      </c>
      <c r="I151" s="256">
        <v>1856</v>
      </c>
      <c r="J151" s="256">
        <v>5500</v>
      </c>
      <c r="K151" s="568">
        <f>ROUND(I151*J151,0)</f>
        <v>10208000</v>
      </c>
      <c r="L151" s="569" t="s">
        <v>253</v>
      </c>
      <c r="M151" s="569" t="s">
        <v>177</v>
      </c>
      <c r="N151" s="52" t="str">
        <f>IF(AND('331-CT'!$E$7=TH!H151,OR(L151="331",M151="331")),"331",IF(AND(OR(L151="131",M151="131"),H151='131-CT'!$E$7),"131",""))</f>
        <v/>
      </c>
      <c r="O151" s="89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15"/>
      <c r="AC151" s="211" t="str">
        <f>IF(F151=VLOOKUP(F151,NXT!$C$12:$C$345,1,0),"","x")</f>
        <v/>
      </c>
      <c r="AD151" s="211"/>
      <c r="AE151" s="211"/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1"/>
        <v>4</v>
      </c>
      <c r="C152" s="184">
        <f t="shared" si="22"/>
        <v>41748</v>
      </c>
      <c r="D152" s="184" t="s">
        <v>919</v>
      </c>
      <c r="E152" s="184">
        <v>41748</v>
      </c>
      <c r="F152" s="189" t="s">
        <v>421</v>
      </c>
      <c r="G152" s="570" t="s">
        <v>506</v>
      </c>
      <c r="H152" s="44" t="s">
        <v>420</v>
      </c>
      <c r="I152" s="256"/>
      <c r="J152" s="256"/>
      <c r="K152" s="568">
        <v>1020800</v>
      </c>
      <c r="L152" s="569" t="s">
        <v>253</v>
      </c>
      <c r="M152" s="569" t="s">
        <v>365</v>
      </c>
      <c r="N152" s="52" t="str">
        <f>IF(AND('331-CT'!$E$7=TH!H152,OR(L152="331",M152="331")),"331",IF(AND(OR(L152="131",M152="131"),H152='131-CT'!$E$7),"131",""))</f>
        <v/>
      </c>
      <c r="O152" s="89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15"/>
      <c r="AC152" s="560" t="str">
        <f>IF(VLOOKUP(H152,DS_131,1,0)&lt;&gt;"","","x")</f>
        <v/>
      </c>
      <c r="AD152" s="560"/>
      <c r="AE152" s="560"/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1"/>
        <v>4</v>
      </c>
      <c r="C153" s="184">
        <f t="shared" si="22"/>
        <v>41750</v>
      </c>
      <c r="D153" s="184" t="s">
        <v>920</v>
      </c>
      <c r="E153" s="184">
        <v>41750</v>
      </c>
      <c r="F153" s="189" t="s">
        <v>422</v>
      </c>
      <c r="G153" s="570" t="s">
        <v>507</v>
      </c>
      <c r="H153" s="7" t="s">
        <v>908</v>
      </c>
      <c r="I153" s="256">
        <v>500</v>
      </c>
      <c r="J153" s="256">
        <v>17300</v>
      </c>
      <c r="K153" s="568">
        <f>ROUND(I153*J153,0)</f>
        <v>8650000</v>
      </c>
      <c r="L153" s="569" t="s">
        <v>253</v>
      </c>
      <c r="M153" s="569" t="s">
        <v>177</v>
      </c>
      <c r="N153" s="52" t="str">
        <f>IF(AND('331-CT'!$E$7=TH!H153,OR(L153="331",M153="331")),"331",IF(AND(OR(L153="131",M153="131"),H153='131-CT'!$E$7),"131",""))</f>
        <v/>
      </c>
      <c r="O153" s="89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15"/>
      <c r="AC153" s="211" t="str">
        <f>IF(F153=VLOOKUP(F153,NXT!$C$12:$C$345,1,0),"","x")</f>
        <v/>
      </c>
      <c r="AD153" s="560"/>
      <c r="AE153" s="560"/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1"/>
        <v>4</v>
      </c>
      <c r="C154" s="184">
        <f t="shared" si="22"/>
        <v>41750</v>
      </c>
      <c r="D154" s="184" t="s">
        <v>920</v>
      </c>
      <c r="E154" s="191">
        <v>41750</v>
      </c>
      <c r="F154" s="40" t="s">
        <v>446</v>
      </c>
      <c r="G154" s="570" t="s">
        <v>507</v>
      </c>
      <c r="H154" s="7" t="s">
        <v>908</v>
      </c>
      <c r="I154" s="256">
        <v>1000</v>
      </c>
      <c r="J154" s="256">
        <v>1500</v>
      </c>
      <c r="K154" s="568">
        <f>ROUND(I154*J154,0)</f>
        <v>1500000</v>
      </c>
      <c r="L154" s="569" t="s">
        <v>253</v>
      </c>
      <c r="M154" s="569" t="s">
        <v>177</v>
      </c>
      <c r="N154" s="52" t="str">
        <f>IF(AND('331-CT'!$E$7=TH!H154,OR(L154="331",M154="331")),"331",IF(AND(OR(L154="131",M154="131"),H154='131-CT'!$E$7),"131",""))</f>
        <v/>
      </c>
      <c r="O154" s="89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15"/>
      <c r="AC154" s="211" t="str">
        <f>IF(F154=VLOOKUP(F154,NXT!$C$12:$C$345,1,0),"","x")</f>
        <v/>
      </c>
    </row>
    <row r="155" spans="1:31" s="856" customFormat="1" ht="15.75" customHeight="1">
      <c r="A155" s="844" t="str">
        <f>IF(B155&lt;&gt;"",IF(AND(B155&gt;=_TM1,B155&lt;=_TM2,OR(TH!L155="1111",TH!M155="1111")),TH!D155,""),"")</f>
        <v/>
      </c>
      <c r="B155" s="845">
        <f t="shared" si="21"/>
        <v>4</v>
      </c>
      <c r="C155" s="846">
        <f t="shared" si="22"/>
        <v>41750</v>
      </c>
      <c r="D155" s="846" t="s">
        <v>920</v>
      </c>
      <c r="E155" s="847">
        <v>41750</v>
      </c>
      <c r="F155" s="848" t="s">
        <v>421</v>
      </c>
      <c r="G155" s="849" t="s">
        <v>507</v>
      </c>
      <c r="H155" s="850" t="s">
        <v>908</v>
      </c>
      <c r="I155" s="851"/>
      <c r="J155" s="851"/>
      <c r="K155" s="852">
        <v>1015000</v>
      </c>
      <c r="L155" s="853" t="s">
        <v>253</v>
      </c>
      <c r="M155" s="569" t="s">
        <v>365</v>
      </c>
      <c r="N155" s="52" t="str">
        <f>IF(AND('331-CT'!$E$7=TH!H155,OR(L155="331",M155="331")),"331",IF(AND(OR(L155="131",M155="131"),H155='131-CT'!$E$7),"131",""))</f>
        <v/>
      </c>
      <c r="O155" s="89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54"/>
      <c r="AC155" s="855" t="str">
        <f>IF(VLOOKUP(H155,DS_131,1,0)&lt;&gt;"","","x")</f>
        <v/>
      </c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1"/>
        <v>4</v>
      </c>
      <c r="C156" s="184">
        <f t="shared" si="22"/>
        <v>41752</v>
      </c>
      <c r="D156" s="184" t="s">
        <v>921</v>
      </c>
      <c r="E156" s="191">
        <v>41752</v>
      </c>
      <c r="F156" s="296" t="s">
        <v>424</v>
      </c>
      <c r="G156" s="468" t="s">
        <v>508</v>
      </c>
      <c r="H156" s="7" t="s">
        <v>426</v>
      </c>
      <c r="I156" s="256">
        <v>500</v>
      </c>
      <c r="J156" s="256">
        <v>8200</v>
      </c>
      <c r="K156" s="568">
        <f>ROUND(I156*J156,0)</f>
        <v>4100000</v>
      </c>
      <c r="L156" s="569" t="s">
        <v>253</v>
      </c>
      <c r="M156" s="569" t="s">
        <v>177</v>
      </c>
      <c r="N156" s="52" t="str">
        <f>IF(AND('331-CT'!$E$7=TH!H156,OR(L156="331",M156="331")),"331",IF(AND(OR(L156="131",M156="131"),H156='131-CT'!$E$7),"131",""))</f>
        <v>131</v>
      </c>
      <c r="O156" s="89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15"/>
      <c r="AC156" s="211" t="str">
        <f>IF(F156=VLOOKUP(F156,NXT!$C$12:$C$345,1,0),"","x")</f>
        <v/>
      </c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21"/>
        <v>4</v>
      </c>
      <c r="C157" s="184">
        <f t="shared" si="22"/>
        <v>41752</v>
      </c>
      <c r="D157" s="184" t="s">
        <v>921</v>
      </c>
      <c r="E157" s="191">
        <v>41752</v>
      </c>
      <c r="F157" s="296" t="s">
        <v>424</v>
      </c>
      <c r="G157" s="468" t="s">
        <v>508</v>
      </c>
      <c r="H157" s="7" t="s">
        <v>426</v>
      </c>
      <c r="I157" s="256">
        <v>504</v>
      </c>
      <c r="J157" s="256">
        <v>10200</v>
      </c>
      <c r="K157" s="568">
        <f>ROUND(I157*J157,0)</f>
        <v>5140800</v>
      </c>
      <c r="L157" s="569" t="s">
        <v>253</v>
      </c>
      <c r="M157" s="569" t="s">
        <v>177</v>
      </c>
      <c r="N157" s="52" t="str">
        <f>IF(AND('331-CT'!$E$7=TH!H157,OR(L157="331",M157="331")),"331",IF(AND(OR(L157="131",M157="131"),H157='131-CT'!$E$7),"131",""))</f>
        <v>131</v>
      </c>
      <c r="O157" s="89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15"/>
      <c r="AC157" s="211" t="str">
        <f>IF(F157=VLOOKUP(F157,NXT!$C$12:$C$345,1,0),"","x")</f>
        <v/>
      </c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1"/>
        <v>4</v>
      </c>
      <c r="C158" s="184">
        <f t="shared" si="22"/>
        <v>41752</v>
      </c>
      <c r="D158" s="184" t="s">
        <v>921</v>
      </c>
      <c r="E158" s="191">
        <v>41752</v>
      </c>
      <c r="F158" s="189" t="s">
        <v>421</v>
      </c>
      <c r="G158" s="570" t="s">
        <v>508</v>
      </c>
      <c r="H158" s="7" t="s">
        <v>426</v>
      </c>
      <c r="I158" s="256"/>
      <c r="J158" s="256"/>
      <c r="K158" s="568">
        <v>924080</v>
      </c>
      <c r="L158" s="569" t="s">
        <v>253</v>
      </c>
      <c r="M158" s="569" t="s">
        <v>365</v>
      </c>
      <c r="N158" s="52" t="str">
        <f>IF(AND('331-CT'!$E$7=TH!H158,OR(L158="331",M158="331")),"331",IF(AND(OR(L158="131",M158="131"),H158='131-CT'!$E$7),"131",""))</f>
        <v>131</v>
      </c>
      <c r="O158" s="89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15"/>
      <c r="AC158" s="560" t="str">
        <f>IF(VLOOKUP(H158,DS_131,1,0)&lt;&gt;"","","x")</f>
        <v/>
      </c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1"/>
        <v>4</v>
      </c>
      <c r="C159" s="184">
        <f t="shared" si="22"/>
        <v>41755</v>
      </c>
      <c r="D159" s="184" t="s">
        <v>922</v>
      </c>
      <c r="E159" s="191">
        <v>41755</v>
      </c>
      <c r="F159" s="296" t="s">
        <v>509</v>
      </c>
      <c r="G159" s="570" t="s">
        <v>510</v>
      </c>
      <c r="H159" s="7" t="s">
        <v>909</v>
      </c>
      <c r="I159" s="708">
        <v>305</v>
      </c>
      <c r="J159" s="256">
        <v>9400</v>
      </c>
      <c r="K159" s="568">
        <f>ROUND(I159*J159,0)</f>
        <v>2867000</v>
      </c>
      <c r="L159" s="569" t="s">
        <v>253</v>
      </c>
      <c r="M159" s="569" t="s">
        <v>177</v>
      </c>
      <c r="N159" s="52" t="str">
        <f>IF(AND('331-CT'!$E$7=TH!H159,OR(L159="331",M159="331")),"331",IF(AND(OR(L159="131",M159="131"),H159='131-CT'!$E$7),"131",""))</f>
        <v/>
      </c>
      <c r="O159" s="89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15"/>
      <c r="AC159" s="211" t="str">
        <f>IF(F159=VLOOKUP(F159,NXT!$C$12:$C$345,1,0),"","x")</f>
        <v/>
      </c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1"/>
        <v>4</v>
      </c>
      <c r="C160" s="184">
        <f t="shared" si="22"/>
        <v>41755</v>
      </c>
      <c r="D160" s="184" t="s">
        <v>922</v>
      </c>
      <c r="E160" s="191">
        <v>41755</v>
      </c>
      <c r="F160" s="189" t="s">
        <v>495</v>
      </c>
      <c r="G160" s="570" t="s">
        <v>510</v>
      </c>
      <c r="H160" s="7" t="s">
        <v>909</v>
      </c>
      <c r="I160" s="708">
        <v>530</v>
      </c>
      <c r="J160" s="708">
        <v>8600</v>
      </c>
      <c r="K160" s="568">
        <f>ROUND(I160*J160,0)</f>
        <v>4558000</v>
      </c>
      <c r="L160" s="569" t="s">
        <v>253</v>
      </c>
      <c r="M160" s="569" t="s">
        <v>177</v>
      </c>
      <c r="N160" s="52" t="str">
        <f>IF(AND('331-CT'!$E$7=TH!H160,OR(L160="331",M160="331")),"331",IF(AND(OR(L160="131",M160="131"),H160='131-CT'!$E$7),"131",""))</f>
        <v/>
      </c>
      <c r="O160" s="89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15"/>
      <c r="AC160" s="211" t="str">
        <f>IF(F160=VLOOKUP(F160,NXT!$C$12:$C$345,1,0),"","x")</f>
        <v/>
      </c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1"/>
        <v>4</v>
      </c>
      <c r="C161" s="184">
        <f t="shared" si="22"/>
        <v>41755</v>
      </c>
      <c r="D161" s="184" t="s">
        <v>922</v>
      </c>
      <c r="E161" s="191">
        <v>41755</v>
      </c>
      <c r="F161" s="189" t="s">
        <v>421</v>
      </c>
      <c r="G161" s="570" t="s">
        <v>510</v>
      </c>
      <c r="H161" s="7" t="s">
        <v>909</v>
      </c>
      <c r="I161" s="708"/>
      <c r="J161" s="256"/>
      <c r="K161" s="568">
        <v>742500</v>
      </c>
      <c r="L161" s="569" t="s">
        <v>253</v>
      </c>
      <c r="M161" s="569" t="s">
        <v>365</v>
      </c>
      <c r="N161" s="52" t="str">
        <f>IF(AND('331-CT'!$E$7=TH!H161,OR(L161="331",M161="331")),"331",IF(AND(OR(L161="131",M161="131"),H161='131-CT'!$E$7),"131",""))</f>
        <v/>
      </c>
      <c r="O161" s="89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15"/>
      <c r="AC161" s="560" t="str">
        <f>IF(VLOOKUP(H161,DS_131,1,0)&lt;&gt;"","","x")</f>
        <v/>
      </c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1"/>
        <v>5</v>
      </c>
      <c r="C162" s="184">
        <f t="shared" si="22"/>
        <v>41762</v>
      </c>
      <c r="D162" s="184" t="s">
        <v>923</v>
      </c>
      <c r="E162" s="191">
        <v>41762</v>
      </c>
      <c r="F162" s="189" t="s">
        <v>422</v>
      </c>
      <c r="G162" s="570" t="s">
        <v>511</v>
      </c>
      <c r="H162" s="7" t="s">
        <v>908</v>
      </c>
      <c r="I162" s="708">
        <v>500</v>
      </c>
      <c r="J162" s="256">
        <v>17300</v>
      </c>
      <c r="K162" s="568">
        <f>ROUND(I162*J162,0)</f>
        <v>8650000</v>
      </c>
      <c r="L162" s="569" t="s">
        <v>253</v>
      </c>
      <c r="M162" s="569" t="s">
        <v>177</v>
      </c>
      <c r="N162" s="52" t="str">
        <f>IF(AND('331-CT'!$E$7=TH!H162,OR(L162="331",M162="331")),"331",IF(AND(OR(L162="131",M162="131"),H162='131-CT'!$E$7),"131",""))</f>
        <v/>
      </c>
      <c r="O162" s="89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15"/>
      <c r="AC162" s="211" t="str">
        <f>IF(F162=VLOOKUP(F162,NXT!$C$12:$C$345,1,0),"","x")</f>
        <v/>
      </c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1"/>
        <v>5</v>
      </c>
      <c r="C163" s="184">
        <f t="shared" si="22"/>
        <v>41762</v>
      </c>
      <c r="D163" s="184" t="s">
        <v>923</v>
      </c>
      <c r="E163" s="37">
        <v>41762</v>
      </c>
      <c r="F163" s="40" t="s">
        <v>446</v>
      </c>
      <c r="G163" s="467" t="s">
        <v>511</v>
      </c>
      <c r="H163" s="7" t="s">
        <v>908</v>
      </c>
      <c r="I163" s="548">
        <v>1000</v>
      </c>
      <c r="J163" s="258">
        <v>1500</v>
      </c>
      <c r="K163" s="568">
        <f>ROUND(I163*J163,0)</f>
        <v>1500000</v>
      </c>
      <c r="L163" s="569" t="s">
        <v>253</v>
      </c>
      <c r="M163" s="569" t="s">
        <v>177</v>
      </c>
      <c r="N163" s="52" t="str">
        <f>IF(AND('331-CT'!$E$7=TH!H163,OR(L163="331",M163="331")),"331",IF(AND(OR(L163="131",M163="131"),H163='131-CT'!$E$7),"131",""))</f>
        <v/>
      </c>
      <c r="O163" s="89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15"/>
      <c r="AC163" s="211" t="str">
        <f>IF(F163=VLOOKUP(F163,NXT!$C$12:$C$345,1,0),"","x")</f>
        <v/>
      </c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1"/>
        <v>5</v>
      </c>
      <c r="C164" s="184">
        <f t="shared" si="22"/>
        <v>41762</v>
      </c>
      <c r="D164" s="184" t="s">
        <v>923</v>
      </c>
      <c r="E164" s="37">
        <v>41762</v>
      </c>
      <c r="F164" s="40" t="s">
        <v>421</v>
      </c>
      <c r="G164" s="467" t="s">
        <v>511</v>
      </c>
      <c r="H164" s="7" t="s">
        <v>908</v>
      </c>
      <c r="I164" s="708"/>
      <c r="J164" s="258"/>
      <c r="K164" s="568">
        <v>1015000</v>
      </c>
      <c r="L164" s="569" t="s">
        <v>253</v>
      </c>
      <c r="M164" s="569" t="s">
        <v>365</v>
      </c>
      <c r="N164" s="52" t="str">
        <f>IF(AND('331-CT'!$E$7=TH!H164,OR(L164="331",M164="331")),"331",IF(AND(OR(L164="131",M164="131"),H164='131-CT'!$E$7),"131",""))</f>
        <v/>
      </c>
      <c r="O164" s="89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15"/>
      <c r="AC164" s="560" t="str">
        <f>IF(VLOOKUP(H164,DS_131,1,0)&lt;&gt;"","","x")</f>
        <v/>
      </c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1"/>
        <v>5</v>
      </c>
      <c r="C165" s="184">
        <f t="shared" si="22"/>
        <v>41765</v>
      </c>
      <c r="D165" s="184" t="s">
        <v>924</v>
      </c>
      <c r="E165" s="37">
        <v>41765</v>
      </c>
      <c r="F165" s="40" t="s">
        <v>495</v>
      </c>
      <c r="G165" s="467" t="s">
        <v>512</v>
      </c>
      <c r="H165" s="7" t="s">
        <v>909</v>
      </c>
      <c r="I165" s="708">
        <v>500</v>
      </c>
      <c r="J165" s="258">
        <v>8600</v>
      </c>
      <c r="K165" s="568">
        <f>ROUND(I165*J165,0)</f>
        <v>4300000</v>
      </c>
      <c r="L165" s="569" t="s">
        <v>253</v>
      </c>
      <c r="M165" s="569" t="s">
        <v>177</v>
      </c>
      <c r="N165" s="52" t="str">
        <f>IF(AND('331-CT'!$E$7=TH!H165,OR(L165="331",M165="331")),"331",IF(AND(OR(L165="131",M165="131"),H165='131-CT'!$E$7),"131",""))</f>
        <v/>
      </c>
      <c r="O165" s="89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15"/>
      <c r="AC165" s="211" t="str">
        <f>IF(F165=VLOOKUP(F165,NXT!$C$12:$C$345,1,0),"","x")</f>
        <v/>
      </c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1"/>
        <v>5</v>
      </c>
      <c r="C166" s="184">
        <f t="shared" si="22"/>
        <v>41765</v>
      </c>
      <c r="D166" s="184" t="s">
        <v>924</v>
      </c>
      <c r="E166" s="184">
        <v>41765</v>
      </c>
      <c r="F166" s="189" t="s">
        <v>513</v>
      </c>
      <c r="G166" s="570" t="s">
        <v>512</v>
      </c>
      <c r="H166" s="7" t="s">
        <v>909</v>
      </c>
      <c r="I166" s="256">
        <v>200</v>
      </c>
      <c r="J166" s="256">
        <v>7000</v>
      </c>
      <c r="K166" s="568">
        <f>ROUND(I166*J166,0)</f>
        <v>1400000</v>
      </c>
      <c r="L166" s="569" t="s">
        <v>253</v>
      </c>
      <c r="M166" s="569" t="s">
        <v>177</v>
      </c>
      <c r="N166" s="52" t="str">
        <f>IF(AND('331-CT'!$E$7=TH!H166,OR(L166="331",M166="331")),"331",IF(AND(OR(L166="131",M166="131"),H166='131-CT'!$E$7),"131",""))</f>
        <v/>
      </c>
      <c r="O166" s="89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15"/>
      <c r="AC166" s="211" t="str">
        <f>IF(F166=VLOOKUP(F166,NXT!$C$12:$C$345,1,0),"","x")</f>
        <v/>
      </c>
      <c r="AD166" s="560"/>
      <c r="AE166" s="560"/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1"/>
        <v>5</v>
      </c>
      <c r="C167" s="184">
        <f t="shared" si="22"/>
        <v>41765</v>
      </c>
      <c r="D167" s="184" t="s">
        <v>924</v>
      </c>
      <c r="E167" s="184">
        <v>41765</v>
      </c>
      <c r="F167" s="189" t="s">
        <v>421</v>
      </c>
      <c r="G167" s="570" t="s">
        <v>512</v>
      </c>
      <c r="H167" s="7" t="s">
        <v>909</v>
      </c>
      <c r="I167" s="256"/>
      <c r="J167" s="256"/>
      <c r="K167" s="568">
        <v>570000</v>
      </c>
      <c r="L167" s="569" t="s">
        <v>253</v>
      </c>
      <c r="M167" s="569" t="s">
        <v>365</v>
      </c>
      <c r="N167" s="52" t="str">
        <f>IF(AND('331-CT'!$E$7=TH!H167,OR(L167="331",M167="331")),"331",IF(AND(OR(L167="131",M167="131"),H167='131-CT'!$E$7),"131",""))</f>
        <v/>
      </c>
      <c r="O167" s="89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15"/>
      <c r="AC167" s="560" t="str">
        <f>IF(VLOOKUP(H167,DS_131,1,0)&lt;&gt;"","","x")</f>
        <v/>
      </c>
      <c r="AD167" s="560"/>
      <c r="AE167" s="560"/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1"/>
        <v>5</v>
      </c>
      <c r="C168" s="184">
        <f t="shared" si="22"/>
        <v>41772</v>
      </c>
      <c r="D168" s="184" t="s">
        <v>925</v>
      </c>
      <c r="E168" s="37">
        <v>41772</v>
      </c>
      <c r="F168" s="189" t="s">
        <v>447</v>
      </c>
      <c r="G168" s="467" t="s">
        <v>514</v>
      </c>
      <c r="H168" s="7" t="s">
        <v>473</v>
      </c>
      <c r="I168" s="256">
        <v>200</v>
      </c>
      <c r="J168" s="258">
        <v>19000</v>
      </c>
      <c r="K168" s="568">
        <f>ROUND(I168*J168,0)</f>
        <v>3800000</v>
      </c>
      <c r="L168" s="569" t="s">
        <v>253</v>
      </c>
      <c r="M168" s="569" t="s">
        <v>177</v>
      </c>
      <c r="N168" s="52" t="str">
        <f>IF(AND('331-CT'!$E$7=TH!H168,OR(L168="331",M168="331")),"331",IF(AND(OR(L168="131",M168="131"),H168='131-CT'!$E$7),"131",""))</f>
        <v/>
      </c>
      <c r="O168" s="89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15"/>
      <c r="AC168" s="211" t="str">
        <f>IF(F168=VLOOKUP(F168,NXT!$C$12:$C$345,1,0),"","x")</f>
        <v/>
      </c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1"/>
        <v>5</v>
      </c>
      <c r="C169" s="184">
        <f t="shared" si="22"/>
        <v>41772</v>
      </c>
      <c r="D169" s="184" t="s">
        <v>925</v>
      </c>
      <c r="E169" s="37">
        <v>41772</v>
      </c>
      <c r="F169" s="189" t="s">
        <v>421</v>
      </c>
      <c r="G169" s="467" t="s">
        <v>514</v>
      </c>
      <c r="H169" s="7" t="s">
        <v>473</v>
      </c>
      <c r="I169" s="256"/>
      <c r="J169" s="258"/>
      <c r="K169" s="568">
        <v>380000</v>
      </c>
      <c r="L169" s="569" t="s">
        <v>253</v>
      </c>
      <c r="M169" s="569" t="s">
        <v>365</v>
      </c>
      <c r="N169" s="52" t="str">
        <f>IF(AND('331-CT'!$E$7=TH!H169,OR(L169="331",M169="331")),"331",IF(AND(OR(L169="131",M169="131"),H169='131-CT'!$E$7),"131",""))</f>
        <v/>
      </c>
      <c r="O169" s="89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15"/>
      <c r="AC169" s="560" t="str">
        <f>IF(VLOOKUP(H169,DS_131,1,0)&lt;&gt;"","","x")</f>
        <v/>
      </c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1"/>
        <v>5</v>
      </c>
      <c r="C170" s="184">
        <f t="shared" si="22"/>
        <v>41774</v>
      </c>
      <c r="D170" s="184" t="s">
        <v>926</v>
      </c>
      <c r="E170" s="37">
        <v>41774</v>
      </c>
      <c r="F170" s="189" t="s">
        <v>437</v>
      </c>
      <c r="G170" s="467" t="s">
        <v>515</v>
      </c>
      <c r="H170" s="7" t="s">
        <v>439</v>
      </c>
      <c r="I170" s="256">
        <v>300</v>
      </c>
      <c r="J170" s="258">
        <v>10500</v>
      </c>
      <c r="K170" s="568">
        <f>ROUND(I170*J170,0)</f>
        <v>3150000</v>
      </c>
      <c r="L170" s="569" t="s">
        <v>253</v>
      </c>
      <c r="M170" s="569" t="s">
        <v>177</v>
      </c>
      <c r="N170" s="52" t="str">
        <f>IF(AND('331-CT'!$E$7=TH!H170,OR(L170="331",M170="331")),"331",IF(AND(OR(L170="131",M170="131"),H170='131-CT'!$E$7),"131",""))</f>
        <v/>
      </c>
      <c r="O170" s="89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15"/>
      <c r="AC170" s="211" t="str">
        <f>IF(F170=VLOOKUP(F170,NXT!$C$12:$C$345,1,0),"","x")</f>
        <v/>
      </c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1"/>
        <v>5</v>
      </c>
      <c r="C171" s="184">
        <f t="shared" si="22"/>
        <v>41774</v>
      </c>
      <c r="D171" s="184" t="s">
        <v>926</v>
      </c>
      <c r="E171" s="37">
        <v>41774</v>
      </c>
      <c r="F171" s="189" t="s">
        <v>421</v>
      </c>
      <c r="G171" s="467" t="s">
        <v>515</v>
      </c>
      <c r="H171" s="7" t="s">
        <v>439</v>
      </c>
      <c r="I171" s="256"/>
      <c r="J171" s="258"/>
      <c r="K171" s="568">
        <v>315000</v>
      </c>
      <c r="L171" s="569" t="s">
        <v>253</v>
      </c>
      <c r="M171" s="569" t="s">
        <v>365</v>
      </c>
      <c r="N171" s="52" t="str">
        <f>IF(AND('331-CT'!$E$7=TH!H171,OR(L171="331",M171="331")),"331",IF(AND(OR(L171="131",M171="131"),H171='131-CT'!$E$7),"131",""))</f>
        <v/>
      </c>
      <c r="O171" s="89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15"/>
      <c r="AC171" s="560" t="str">
        <f>IF(VLOOKUP(H171,DS_131,1,0)&lt;&gt;"","","x")</f>
        <v/>
      </c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21"/>
        <v>5</v>
      </c>
      <c r="C172" s="184">
        <f t="shared" si="22"/>
        <v>41774</v>
      </c>
      <c r="D172" s="184" t="s">
        <v>927</v>
      </c>
      <c r="E172" s="37">
        <v>41774</v>
      </c>
      <c r="F172" s="189" t="s">
        <v>516</v>
      </c>
      <c r="G172" s="467" t="s">
        <v>517</v>
      </c>
      <c r="H172" s="7" t="s">
        <v>910</v>
      </c>
      <c r="I172" s="256">
        <v>987</v>
      </c>
      <c r="J172" s="258">
        <v>12000</v>
      </c>
      <c r="K172" s="568">
        <f>ROUND(I172*J172,0)</f>
        <v>11844000</v>
      </c>
      <c r="L172" s="569" t="s">
        <v>253</v>
      </c>
      <c r="M172" s="569" t="s">
        <v>177</v>
      </c>
      <c r="N172" s="52" t="str">
        <f>IF(AND('331-CT'!$E$7=TH!H172,OR(L172="331",M172="331")),"331",IF(AND(OR(L172="131",M172="131"),H172='131-CT'!$E$7),"131",""))</f>
        <v/>
      </c>
      <c r="O172" s="89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15"/>
      <c r="AC172" s="211" t="str">
        <f>IF(F172=VLOOKUP(F172,NXT!$C$12:$C$345,1,0),"","x")</f>
        <v/>
      </c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1"/>
        <v>5</v>
      </c>
      <c r="C173" s="184">
        <f t="shared" si="22"/>
        <v>41774</v>
      </c>
      <c r="D173" s="184" t="s">
        <v>927</v>
      </c>
      <c r="E173" s="37">
        <v>41774</v>
      </c>
      <c r="F173" s="189" t="s">
        <v>421</v>
      </c>
      <c r="G173" s="467" t="s">
        <v>517</v>
      </c>
      <c r="H173" s="7" t="s">
        <v>910</v>
      </c>
      <c r="I173" s="256"/>
      <c r="J173" s="258"/>
      <c r="K173" s="38">
        <v>1184400</v>
      </c>
      <c r="L173" s="569" t="s">
        <v>253</v>
      </c>
      <c r="M173" s="569" t="s">
        <v>365</v>
      </c>
      <c r="N173" s="52" t="str">
        <f>IF(AND('331-CT'!$E$7=TH!H173,OR(L173="331",M173="331")),"331",IF(AND(OR(L173="131",M173="131"),H173='131-CT'!$E$7),"131",""))</f>
        <v/>
      </c>
      <c r="O173" s="89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15"/>
      <c r="AC173" s="560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1"/>
        <v>5</v>
      </c>
      <c r="C174" s="184">
        <f t="shared" si="22"/>
        <v>41774</v>
      </c>
      <c r="D174" s="184" t="s">
        <v>928</v>
      </c>
      <c r="E174" s="37">
        <v>41774</v>
      </c>
      <c r="F174" s="189" t="s">
        <v>518</v>
      </c>
      <c r="G174" s="467" t="s">
        <v>519</v>
      </c>
      <c r="H174" s="7" t="s">
        <v>426</v>
      </c>
      <c r="I174" s="257">
        <v>995</v>
      </c>
      <c r="J174" s="258">
        <v>11300</v>
      </c>
      <c r="K174" s="568">
        <f>ROUND(I174*J174,0)</f>
        <v>11243500</v>
      </c>
      <c r="L174" s="569" t="s">
        <v>253</v>
      </c>
      <c r="M174" s="569" t="s">
        <v>177</v>
      </c>
      <c r="N174" s="52" t="str">
        <f>IF(AND('331-CT'!$E$7=TH!H174,OR(L174="331",M174="331")),"331",IF(AND(OR(L174="131",M174="131"),H174='131-CT'!$E$7),"131",""))</f>
        <v>131</v>
      </c>
      <c r="O174" s="89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15"/>
      <c r="AC174" s="211" t="str">
        <f>IF(F174=VLOOKUP(F174,NXT!$C$12:$C$345,1,0),"","x")</f>
        <v/>
      </c>
      <c r="AD174" s="560"/>
      <c r="AE174" s="560"/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1"/>
        <v>5</v>
      </c>
      <c r="C175" s="184">
        <f t="shared" si="22"/>
        <v>41774</v>
      </c>
      <c r="D175" s="184" t="s">
        <v>928</v>
      </c>
      <c r="E175" s="37">
        <v>41774</v>
      </c>
      <c r="F175" s="189" t="s">
        <v>520</v>
      </c>
      <c r="G175" s="467" t="s">
        <v>519</v>
      </c>
      <c r="H175" s="7" t="s">
        <v>426</v>
      </c>
      <c r="I175" s="257">
        <v>497</v>
      </c>
      <c r="J175" s="258">
        <v>10500</v>
      </c>
      <c r="K175" s="568">
        <f>ROUND(I175*J175,0)</f>
        <v>5218500</v>
      </c>
      <c r="L175" s="569" t="s">
        <v>253</v>
      </c>
      <c r="M175" s="569" t="s">
        <v>177</v>
      </c>
      <c r="N175" s="52" t="str">
        <f>IF(AND('331-CT'!$E$7=TH!H175,OR(L175="331",M175="331")),"331",IF(AND(OR(L175="131",M175="131"),H175='131-CT'!$E$7),"131",""))</f>
        <v>131</v>
      </c>
      <c r="O175" s="89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15"/>
      <c r="AC175" s="211" t="str">
        <f>IF(F175=VLOOKUP(F175,NXT!$C$12:$C$345,1,0),"","x")</f>
        <v/>
      </c>
      <c r="AD175" s="560"/>
      <c r="AE175" s="560"/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1"/>
        <v>5</v>
      </c>
      <c r="C176" s="184">
        <f t="shared" si="22"/>
        <v>41774</v>
      </c>
      <c r="D176" s="184" t="s">
        <v>928</v>
      </c>
      <c r="E176" s="37">
        <v>41774</v>
      </c>
      <c r="F176" s="189" t="s">
        <v>421</v>
      </c>
      <c r="G176" s="467" t="s">
        <v>519</v>
      </c>
      <c r="H176" s="7" t="s">
        <v>426</v>
      </c>
      <c r="I176" s="256"/>
      <c r="J176" s="258"/>
      <c r="K176" s="568">
        <v>1646200</v>
      </c>
      <c r="L176" s="569" t="s">
        <v>253</v>
      </c>
      <c r="M176" s="569" t="s">
        <v>365</v>
      </c>
      <c r="N176" s="52" t="str">
        <f>IF(AND('331-CT'!$E$7=TH!H176,OR(L176="331",M176="331")),"331",IF(AND(OR(L176="131",M176="131"),H176='131-CT'!$E$7),"131",""))</f>
        <v>131</v>
      </c>
      <c r="O176" s="89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15"/>
      <c r="AC176" s="560" t="str">
        <f>IF(VLOOKUP(H176,DS_131,1,0)&lt;&gt;"","","x")</f>
        <v/>
      </c>
      <c r="AD176" s="560"/>
      <c r="AE176" s="560"/>
    </row>
    <row r="177" spans="1:29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1"/>
        <v>5</v>
      </c>
      <c r="C177" s="184">
        <f t="shared" si="22"/>
        <v>41778</v>
      </c>
      <c r="D177" s="184" t="s">
        <v>929</v>
      </c>
      <c r="E177" s="37">
        <v>41778</v>
      </c>
      <c r="F177" s="189" t="s">
        <v>484</v>
      </c>
      <c r="G177" s="467" t="s">
        <v>521</v>
      </c>
      <c r="H177" s="7" t="s">
        <v>909</v>
      </c>
      <c r="I177" s="258">
        <v>205</v>
      </c>
      <c r="J177" s="258">
        <v>12900</v>
      </c>
      <c r="K177" s="568">
        <f>ROUND(I177*J177,0)</f>
        <v>2644500</v>
      </c>
      <c r="L177" s="569" t="s">
        <v>253</v>
      </c>
      <c r="M177" s="569" t="s">
        <v>177</v>
      </c>
      <c r="N177" s="52" t="str">
        <f>IF(AND('331-CT'!$E$7=TH!H177,OR(L177="331",M177="331")),"331",IF(AND(OR(L177="131",M177="131"),H177='131-CT'!$E$7),"131",""))</f>
        <v/>
      </c>
      <c r="O177" s="89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15"/>
      <c r="AC177" s="211" t="str">
        <f>IF(F177=VLOOKUP(F177,NXT!$C$12:$C$345,1,0),"","x")</f>
        <v/>
      </c>
    </row>
    <row r="178" spans="1:29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1"/>
        <v>5</v>
      </c>
      <c r="C178" s="184">
        <f t="shared" si="22"/>
        <v>41778</v>
      </c>
      <c r="D178" s="184" t="s">
        <v>929</v>
      </c>
      <c r="E178" s="37">
        <v>41778</v>
      </c>
      <c r="F178" s="40" t="s">
        <v>488</v>
      </c>
      <c r="G178" s="465" t="s">
        <v>521</v>
      </c>
      <c r="H178" s="7" t="s">
        <v>909</v>
      </c>
      <c r="I178" s="256">
        <v>297</v>
      </c>
      <c r="J178" s="256">
        <v>6400</v>
      </c>
      <c r="K178" s="568">
        <f>ROUND(I178*J178,0)</f>
        <v>1900800</v>
      </c>
      <c r="L178" s="569" t="s">
        <v>253</v>
      </c>
      <c r="M178" s="569" t="s">
        <v>177</v>
      </c>
      <c r="N178" s="52" t="str">
        <f>IF(AND('331-CT'!$E$7=TH!H178,OR(L178="331",M178="331")),"331",IF(AND(OR(L178="131",M178="131"),H178='131-CT'!$E$7),"131",""))</f>
        <v/>
      </c>
      <c r="O178" s="89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15"/>
      <c r="AC178" s="211" t="str">
        <f>IF(F178=VLOOKUP(F178,NXT!$C$12:$C$345,1,0),"","x")</f>
        <v/>
      </c>
    </row>
    <row r="179" spans="1:29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1"/>
        <v>5</v>
      </c>
      <c r="C179" s="184">
        <f t="shared" si="22"/>
        <v>41778</v>
      </c>
      <c r="D179" s="184" t="s">
        <v>929</v>
      </c>
      <c r="E179" s="37">
        <v>41778</v>
      </c>
      <c r="F179" s="40" t="s">
        <v>487</v>
      </c>
      <c r="G179" s="465" t="s">
        <v>521</v>
      </c>
      <c r="H179" s="7" t="s">
        <v>909</v>
      </c>
      <c r="I179" s="256">
        <v>374</v>
      </c>
      <c r="J179" s="256">
        <v>9300</v>
      </c>
      <c r="K179" s="568">
        <f>ROUND(I179*J179,0)</f>
        <v>3478200</v>
      </c>
      <c r="L179" s="569" t="s">
        <v>253</v>
      </c>
      <c r="M179" s="569" t="s">
        <v>177</v>
      </c>
      <c r="N179" s="52" t="str">
        <f>IF(AND('331-CT'!$E$7=TH!H179,OR(L179="331",M179="331")),"331",IF(AND(OR(L179="131",M179="131"),H179='131-CT'!$E$7),"131",""))</f>
        <v/>
      </c>
      <c r="O179" s="89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15"/>
      <c r="AC179" s="211" t="str">
        <f>IF(F179=VLOOKUP(F179,NXT!$C$12:$C$345,1,0),"","x")</f>
        <v/>
      </c>
    </row>
    <row r="180" spans="1:29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1"/>
        <v>5</v>
      </c>
      <c r="C180" s="184">
        <f t="shared" si="22"/>
        <v>41778</v>
      </c>
      <c r="D180" s="184" t="s">
        <v>929</v>
      </c>
      <c r="E180" s="184">
        <v>41778</v>
      </c>
      <c r="F180" s="189" t="s">
        <v>495</v>
      </c>
      <c r="G180" s="570" t="s">
        <v>521</v>
      </c>
      <c r="H180" s="7" t="s">
        <v>909</v>
      </c>
      <c r="I180" s="256">
        <v>399</v>
      </c>
      <c r="J180" s="256">
        <v>8500</v>
      </c>
      <c r="K180" s="568">
        <f>ROUND(I180*J180,0)</f>
        <v>3391500</v>
      </c>
      <c r="L180" s="569" t="s">
        <v>253</v>
      </c>
      <c r="M180" s="569" t="s">
        <v>177</v>
      </c>
      <c r="N180" s="52" t="str">
        <f>IF(AND('331-CT'!$E$7=TH!H180,OR(L180="331",M180="331")),"331",IF(AND(OR(L180="131",M180="131"),H180='131-CT'!$E$7),"131",""))</f>
        <v/>
      </c>
      <c r="O180" s="89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15"/>
      <c r="AC180" s="211" t="str">
        <f>IF(F180=VLOOKUP(F180,NXT!$C$12:$C$345,1,0),"","x")</f>
        <v/>
      </c>
    </row>
    <row r="181" spans="1:29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1"/>
        <v>5</v>
      </c>
      <c r="C181" s="184">
        <f t="shared" si="22"/>
        <v>41778</v>
      </c>
      <c r="D181" s="184" t="s">
        <v>929</v>
      </c>
      <c r="E181" s="184">
        <v>41778</v>
      </c>
      <c r="F181" s="189" t="s">
        <v>421</v>
      </c>
      <c r="G181" s="570" t="s">
        <v>521</v>
      </c>
      <c r="H181" s="7" t="s">
        <v>909</v>
      </c>
      <c r="I181" s="256"/>
      <c r="J181" s="256"/>
      <c r="K181" s="568">
        <v>1141500</v>
      </c>
      <c r="L181" s="569" t="s">
        <v>253</v>
      </c>
      <c r="M181" s="569" t="s">
        <v>365</v>
      </c>
      <c r="N181" s="52" t="str">
        <f>IF(AND('331-CT'!$E$7=TH!H181,OR(L181="331",M181="331")),"331",IF(AND(OR(L181="131",M181="131"),H181='131-CT'!$E$7),"131",""))</f>
        <v/>
      </c>
      <c r="O181" s="89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15"/>
      <c r="AC181" s="560" t="str">
        <f>IF(VLOOKUP(H181,DS_131,1,0)&lt;&gt;"","","x")</f>
        <v/>
      </c>
    </row>
    <row r="182" spans="1:29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1"/>
        <v>5</v>
      </c>
      <c r="C182" s="184">
        <f t="shared" si="22"/>
        <v>41779</v>
      </c>
      <c r="D182" s="184" t="s">
        <v>930</v>
      </c>
      <c r="E182" s="184">
        <v>41779</v>
      </c>
      <c r="F182" s="189" t="s">
        <v>522</v>
      </c>
      <c r="G182" s="468" t="s">
        <v>523</v>
      </c>
      <c r="H182" s="7" t="s">
        <v>470</v>
      </c>
      <c r="I182" s="258">
        <v>150</v>
      </c>
      <c r="J182" s="258">
        <v>4000</v>
      </c>
      <c r="K182" s="568">
        <f>ROUND(I182*J182,0)</f>
        <v>600000</v>
      </c>
      <c r="L182" s="569" t="s">
        <v>253</v>
      </c>
      <c r="M182" s="569" t="s">
        <v>177</v>
      </c>
      <c r="N182" s="52" t="str">
        <f>IF(AND('331-CT'!$E$7=TH!H182,OR(L182="331",M182="331")),"331",IF(AND(OR(L182="131",M182="131"),H182='131-CT'!$E$7),"131",""))</f>
        <v/>
      </c>
      <c r="O182" s="89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15"/>
      <c r="AC182" s="211" t="str">
        <f>IF(F182=VLOOKUP(F182,NXT!$C$12:$C$345,1,0),"","x")</f>
        <v/>
      </c>
    </row>
    <row r="183" spans="1:29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1"/>
        <v>5</v>
      </c>
      <c r="C183" s="184">
        <f t="shared" si="22"/>
        <v>41779</v>
      </c>
      <c r="D183" s="184" t="s">
        <v>930</v>
      </c>
      <c r="E183" s="184">
        <v>41779</v>
      </c>
      <c r="F183" s="296" t="s">
        <v>524</v>
      </c>
      <c r="G183" s="468" t="s">
        <v>523</v>
      </c>
      <c r="H183" s="7" t="s">
        <v>470</v>
      </c>
      <c r="I183" s="258">
        <v>1250</v>
      </c>
      <c r="J183" s="256">
        <v>4600</v>
      </c>
      <c r="K183" s="568">
        <f>ROUND(I183*J183,0)</f>
        <v>5750000</v>
      </c>
      <c r="L183" s="569" t="s">
        <v>253</v>
      </c>
      <c r="M183" s="569" t="s">
        <v>177</v>
      </c>
      <c r="N183" s="52" t="str">
        <f>IF(AND('331-CT'!$E$7=TH!H183,OR(L183="331",M183="331")),"331",IF(AND(OR(L183="131",M183="131"),H183='131-CT'!$E$7),"131",""))</f>
        <v/>
      </c>
      <c r="O183" s="89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15"/>
      <c r="AC183" s="211" t="str">
        <f>IF(F183=VLOOKUP(F183,NXT!$C$12:$C$345,1,0),"","x")</f>
        <v/>
      </c>
    </row>
    <row r="184" spans="1:29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1"/>
        <v>5</v>
      </c>
      <c r="C184" s="184">
        <f t="shared" si="22"/>
        <v>41779</v>
      </c>
      <c r="D184" s="184" t="s">
        <v>930</v>
      </c>
      <c r="E184" s="184">
        <v>41779</v>
      </c>
      <c r="F184" s="189" t="s">
        <v>421</v>
      </c>
      <c r="G184" s="570" t="s">
        <v>523</v>
      </c>
      <c r="H184" s="7" t="s">
        <v>470</v>
      </c>
      <c r="I184" s="256"/>
      <c r="J184" s="256"/>
      <c r="K184" s="568">
        <v>635000</v>
      </c>
      <c r="L184" s="569" t="s">
        <v>253</v>
      </c>
      <c r="M184" s="569" t="s">
        <v>365</v>
      </c>
      <c r="N184" s="52" t="str">
        <f>IF(AND('331-CT'!$E$7=TH!H184,OR(L184="331",M184="331")),"331",IF(AND(OR(L184="131",M184="131"),H184='131-CT'!$E$7),"131",""))</f>
        <v/>
      </c>
      <c r="O184" s="89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15"/>
      <c r="AC184" s="560" t="str">
        <f>IF(VLOOKUP(H184,DS_131,1,0)&lt;&gt;"","","x")</f>
        <v/>
      </c>
    </row>
    <row r="185" spans="1:29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1"/>
        <v>5</v>
      </c>
      <c r="C185" s="184">
        <f t="shared" si="22"/>
        <v>41780</v>
      </c>
      <c r="D185" s="184" t="s">
        <v>931</v>
      </c>
      <c r="E185" s="184">
        <v>41780</v>
      </c>
      <c r="F185" s="189" t="s">
        <v>525</v>
      </c>
      <c r="G185" s="570" t="s">
        <v>526</v>
      </c>
      <c r="H185" s="7" t="s">
        <v>478</v>
      </c>
      <c r="I185" s="256">
        <v>1200</v>
      </c>
      <c r="J185" s="256">
        <v>1500</v>
      </c>
      <c r="K185" s="568">
        <f>ROUND(I185*J185,0)</f>
        <v>1800000</v>
      </c>
      <c r="L185" s="569" t="s">
        <v>253</v>
      </c>
      <c r="M185" s="569" t="s">
        <v>177</v>
      </c>
      <c r="N185" s="52" t="str">
        <f>IF(AND('331-CT'!$E$7=TH!H185,OR(L185="331",M185="331")),"331",IF(AND(OR(L185="131",M185="131"),H185='131-CT'!$E$7),"131",""))</f>
        <v/>
      </c>
      <c r="O185" s="89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15"/>
      <c r="AC185" s="211" t="str">
        <f>IF(F185=VLOOKUP(F185,NXT!$C$12:$C$345,1,0),"","x")</f>
        <v/>
      </c>
    </row>
    <row r="186" spans="1:29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1"/>
        <v>5</v>
      </c>
      <c r="C186" s="184">
        <f t="shared" si="22"/>
        <v>41780</v>
      </c>
      <c r="D186" s="184" t="s">
        <v>931</v>
      </c>
      <c r="E186" s="184">
        <v>41780</v>
      </c>
      <c r="F186" s="189" t="s">
        <v>421</v>
      </c>
      <c r="G186" s="570" t="s">
        <v>526</v>
      </c>
      <c r="H186" s="7" t="s">
        <v>478</v>
      </c>
      <c r="I186" s="256"/>
      <c r="J186" s="256"/>
      <c r="K186" s="568">
        <v>180000</v>
      </c>
      <c r="L186" s="569" t="s">
        <v>253</v>
      </c>
      <c r="M186" s="569" t="s">
        <v>365</v>
      </c>
      <c r="N186" s="52" t="str">
        <f>IF(AND('331-CT'!$E$7=TH!H186,OR(L186="331",M186="331")),"331",IF(AND(OR(L186="131",M186="131"),H186='131-CT'!$E$7),"131",""))</f>
        <v/>
      </c>
      <c r="O186" s="89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15"/>
      <c r="AC186" s="560" t="str">
        <f>IF(VLOOKUP(H186,DS_131,1,0)&lt;&gt;"","","x")</f>
        <v/>
      </c>
    </row>
    <row r="187" spans="1:29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1"/>
        <v>5</v>
      </c>
      <c r="C187" s="184">
        <f t="shared" si="22"/>
        <v>41780</v>
      </c>
      <c r="D187" s="184" t="s">
        <v>932</v>
      </c>
      <c r="E187" s="184">
        <v>41780</v>
      </c>
      <c r="F187" s="189" t="s">
        <v>467</v>
      </c>
      <c r="G187" s="468" t="s">
        <v>527</v>
      </c>
      <c r="H187" s="7" t="s">
        <v>910</v>
      </c>
      <c r="I187" s="256">
        <v>1305</v>
      </c>
      <c r="J187" s="256">
        <v>4650</v>
      </c>
      <c r="K187" s="568">
        <f>ROUND(I187*J187,0)</f>
        <v>6068250</v>
      </c>
      <c r="L187" s="569" t="s">
        <v>253</v>
      </c>
      <c r="M187" s="569" t="s">
        <v>177</v>
      </c>
      <c r="N187" s="52" t="str">
        <f>IF(AND('331-CT'!$E$7=TH!H187,OR(L187="331",M187="331")),"331",IF(AND(OR(L187="131",M187="131"),H187='131-CT'!$E$7),"131",""))</f>
        <v/>
      </c>
      <c r="O187" s="89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15"/>
      <c r="AC187" s="211" t="str">
        <f>IF(F187=VLOOKUP(F187,NXT!$C$12:$C$345,1,0),"","x")</f>
        <v/>
      </c>
    </row>
    <row r="188" spans="1:29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1"/>
        <v>5</v>
      </c>
      <c r="C188" s="184">
        <f t="shared" si="22"/>
        <v>41780</v>
      </c>
      <c r="D188" s="184" t="s">
        <v>932</v>
      </c>
      <c r="E188" s="184">
        <v>41780</v>
      </c>
      <c r="F188" s="189" t="s">
        <v>421</v>
      </c>
      <c r="G188" s="468" t="s">
        <v>527</v>
      </c>
      <c r="H188" s="7" t="s">
        <v>910</v>
      </c>
      <c r="I188" s="256"/>
      <c r="J188" s="256"/>
      <c r="K188" s="568">
        <v>606825</v>
      </c>
      <c r="L188" s="569" t="s">
        <v>253</v>
      </c>
      <c r="M188" s="569" t="s">
        <v>365</v>
      </c>
      <c r="N188" s="52" t="str">
        <f>IF(AND('331-CT'!$E$7=TH!H188,OR(L188="331",M188="331")),"331",IF(AND(OR(L188="131",M188="131"),H188='131-CT'!$E$7),"131",""))</f>
        <v/>
      </c>
      <c r="O188" s="89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15"/>
      <c r="AC188" s="560" t="str">
        <f>IF(VLOOKUP(H188,DS_131,1,0)&lt;&gt;"","","x")</f>
        <v/>
      </c>
    </row>
    <row r="189" spans="1:29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1"/>
        <v>5</v>
      </c>
      <c r="C189" s="184">
        <f t="shared" si="22"/>
        <v>41781</v>
      </c>
      <c r="D189" s="184" t="s">
        <v>933</v>
      </c>
      <c r="E189" s="37">
        <v>41781</v>
      </c>
      <c r="F189" s="40" t="s">
        <v>528</v>
      </c>
      <c r="G189" s="465" t="s">
        <v>529</v>
      </c>
      <c r="H189" s="45" t="s">
        <v>426</v>
      </c>
      <c r="I189" s="256">
        <v>497</v>
      </c>
      <c r="J189" s="256">
        <v>17800</v>
      </c>
      <c r="K189" s="568">
        <f>ROUND(I189*J189,0)</f>
        <v>8846600</v>
      </c>
      <c r="L189" s="569" t="s">
        <v>253</v>
      </c>
      <c r="M189" s="569" t="s">
        <v>177</v>
      </c>
      <c r="N189" s="52" t="str">
        <f>IF(AND('331-CT'!$E$7=TH!H189,OR(L189="331",M189="331")),"331",IF(AND(OR(L189="131",M189="131"),H189='131-CT'!$E$7),"131",""))</f>
        <v>131</v>
      </c>
      <c r="O189" s="89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15"/>
      <c r="AC189" s="211" t="str">
        <f>IF(F189=VLOOKUP(F189,NXT!$C$12:$C$345,1,0),"","x")</f>
        <v/>
      </c>
    </row>
    <row r="190" spans="1:29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ref="B190:B249" si="23">IF(C190&lt;&gt;"",MONTH(C190),"")</f>
        <v>5</v>
      </c>
      <c r="C190" s="184">
        <f t="shared" ref="C190:C249" si="24">E190</f>
        <v>41781</v>
      </c>
      <c r="D190" s="184" t="s">
        <v>933</v>
      </c>
      <c r="E190" s="37">
        <v>41781</v>
      </c>
      <c r="F190" s="40" t="s">
        <v>421</v>
      </c>
      <c r="G190" s="465" t="s">
        <v>529</v>
      </c>
      <c r="H190" s="45" t="s">
        <v>426</v>
      </c>
      <c r="I190" s="256"/>
      <c r="J190" s="256"/>
      <c r="K190" s="38">
        <v>884660</v>
      </c>
      <c r="L190" s="569" t="s">
        <v>253</v>
      </c>
      <c r="M190" s="569" t="s">
        <v>365</v>
      </c>
      <c r="N190" s="52" t="str">
        <f>IF(AND('331-CT'!$E$7=TH!H190,OR(L190="331",M190="331")),"331",IF(AND(OR(L190="131",M190="131"),H190='131-CT'!$E$7),"131",""))</f>
        <v>131</v>
      </c>
      <c r="O190" s="89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15"/>
      <c r="AC190" s="560" t="str">
        <f>IF(VLOOKUP(H190,DS_131,1,0)&lt;&gt;"","","x")</f>
        <v/>
      </c>
    </row>
    <row r="191" spans="1:29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3"/>
        <v>5</v>
      </c>
      <c r="C191" s="184">
        <f t="shared" si="24"/>
        <v>41786</v>
      </c>
      <c r="D191" s="184" t="s">
        <v>934</v>
      </c>
      <c r="E191" s="37">
        <v>41786</v>
      </c>
      <c r="F191" s="40" t="s">
        <v>464</v>
      </c>
      <c r="G191" s="465" t="s">
        <v>530</v>
      </c>
      <c r="H191" s="45" t="s">
        <v>426</v>
      </c>
      <c r="I191" s="256">
        <v>998</v>
      </c>
      <c r="J191" s="256">
        <v>12300</v>
      </c>
      <c r="K191" s="568">
        <f>ROUND(I191*J191,0)</f>
        <v>12275400</v>
      </c>
      <c r="L191" s="569" t="s">
        <v>253</v>
      </c>
      <c r="M191" s="569" t="s">
        <v>177</v>
      </c>
      <c r="N191" s="52" t="str">
        <f>IF(AND('331-CT'!$E$7=TH!H191,OR(L191="331",M191="331")),"331",IF(AND(OR(L191="131",M191="131"),H191='131-CT'!$E$7),"131",""))</f>
        <v>131</v>
      </c>
      <c r="O191" s="89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15"/>
      <c r="AC191" s="211" t="str">
        <f>IF(F191=VLOOKUP(F191,NXT!$C$12:$C$345,1,0),"","x")</f>
        <v/>
      </c>
    </row>
    <row r="192" spans="1:29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3"/>
        <v>5</v>
      </c>
      <c r="C192" s="184">
        <f t="shared" si="24"/>
        <v>41786</v>
      </c>
      <c r="D192" s="184" t="s">
        <v>934</v>
      </c>
      <c r="E192" s="749">
        <v>41786</v>
      </c>
      <c r="F192" s="189" t="s">
        <v>421</v>
      </c>
      <c r="G192" s="468" t="s">
        <v>530</v>
      </c>
      <c r="H192" s="7" t="s">
        <v>426</v>
      </c>
      <c r="I192" s="256"/>
      <c r="J192" s="256"/>
      <c r="K192" s="568">
        <v>1227540</v>
      </c>
      <c r="L192" s="569" t="s">
        <v>253</v>
      </c>
      <c r="M192" s="569" t="s">
        <v>365</v>
      </c>
      <c r="N192" s="52" t="str">
        <f>IF(AND('331-CT'!$E$7=TH!H192,OR(L192="331",M192="331")),"331",IF(AND(OR(L192="131",M192="131"),H192='131-CT'!$E$7),"131",""))</f>
        <v>131</v>
      </c>
      <c r="O192" s="89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15"/>
      <c r="AC192" s="560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3"/>
        <v>5</v>
      </c>
      <c r="C193" s="184">
        <f t="shared" si="24"/>
        <v>41788</v>
      </c>
      <c r="D193" s="184" t="s">
        <v>935</v>
      </c>
      <c r="E193" s="749">
        <v>41788</v>
      </c>
      <c r="F193" s="189" t="s">
        <v>437</v>
      </c>
      <c r="G193" s="468" t="s">
        <v>531</v>
      </c>
      <c r="H193" s="7" t="s">
        <v>439</v>
      </c>
      <c r="I193" s="256">
        <v>496</v>
      </c>
      <c r="J193" s="256">
        <v>10500</v>
      </c>
      <c r="K193" s="568">
        <f>ROUND(I193*J193,0)</f>
        <v>5208000</v>
      </c>
      <c r="L193" s="569" t="s">
        <v>253</v>
      </c>
      <c r="M193" s="569" t="s">
        <v>177</v>
      </c>
      <c r="N193" s="52" t="str">
        <f>IF(AND('331-CT'!$E$7=TH!H193,OR(L193="331",M193="331")),"331",IF(AND(OR(L193="131",M193="131"),H193='131-CT'!$E$7),"131",""))</f>
        <v/>
      </c>
      <c r="O193" s="89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15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3"/>
        <v>5</v>
      </c>
      <c r="C194" s="184">
        <f t="shared" si="24"/>
        <v>41788</v>
      </c>
      <c r="D194" s="184" t="s">
        <v>935</v>
      </c>
      <c r="E194" s="749">
        <v>41788</v>
      </c>
      <c r="F194" s="296" t="s">
        <v>421</v>
      </c>
      <c r="G194" s="468" t="s">
        <v>531</v>
      </c>
      <c r="H194" s="7" t="s">
        <v>439</v>
      </c>
      <c r="I194" s="257"/>
      <c r="J194" s="257"/>
      <c r="K194" s="568">
        <v>520800</v>
      </c>
      <c r="L194" s="569" t="s">
        <v>253</v>
      </c>
      <c r="M194" s="569" t="s">
        <v>365</v>
      </c>
      <c r="N194" s="52" t="str">
        <f>IF(AND('331-CT'!$E$7=TH!H194,OR(L194="331",M194="331")),"331",IF(AND(OR(L194="131",M194="131"),H194='131-CT'!$E$7),"131",""))</f>
        <v/>
      </c>
      <c r="O194" s="89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15"/>
      <c r="AC194" s="560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3"/>
        <v>5</v>
      </c>
      <c r="C195" s="184">
        <f t="shared" si="24"/>
        <v>41788</v>
      </c>
      <c r="D195" s="184" t="s">
        <v>936</v>
      </c>
      <c r="E195" s="749">
        <v>41788</v>
      </c>
      <c r="F195" s="189" t="s">
        <v>509</v>
      </c>
      <c r="G195" s="570" t="s">
        <v>532</v>
      </c>
      <c r="H195" s="7" t="s">
        <v>909</v>
      </c>
      <c r="I195" s="256">
        <v>304</v>
      </c>
      <c r="J195" s="256">
        <v>9400</v>
      </c>
      <c r="K195" s="568">
        <f>ROUND(I195*J195,0)</f>
        <v>2857600</v>
      </c>
      <c r="L195" s="569" t="s">
        <v>253</v>
      </c>
      <c r="M195" s="569" t="s">
        <v>177</v>
      </c>
      <c r="N195" s="52" t="str">
        <f>IF(AND('331-CT'!$E$7=TH!H195,OR(L195="331",M195="331")),"331",IF(AND(OR(L195="131",M195="131"),H195='131-CT'!$E$7),"131",""))</f>
        <v/>
      </c>
      <c r="O195" s="89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15"/>
      <c r="AC195" s="211" t="str">
        <f>IF(F195=VLOOKUP(F195,NXT!$C$12:$C$345,1,0),"","x")</f>
        <v/>
      </c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23"/>
        <v>5</v>
      </c>
      <c r="C196" s="184">
        <f t="shared" si="24"/>
        <v>41788</v>
      </c>
      <c r="D196" s="184" t="s">
        <v>936</v>
      </c>
      <c r="E196" s="749">
        <v>41788</v>
      </c>
      <c r="F196" s="189" t="s">
        <v>533</v>
      </c>
      <c r="G196" s="468" t="s">
        <v>532</v>
      </c>
      <c r="H196" s="7" t="s">
        <v>909</v>
      </c>
      <c r="I196" s="256">
        <v>154</v>
      </c>
      <c r="J196" s="256">
        <v>11600</v>
      </c>
      <c r="K196" s="568">
        <f>ROUND(I196*J196,0)</f>
        <v>1786400</v>
      </c>
      <c r="L196" s="569" t="s">
        <v>253</v>
      </c>
      <c r="M196" s="569" t="s">
        <v>177</v>
      </c>
      <c r="N196" s="52" t="str">
        <f>IF(AND('331-CT'!$E$7=TH!H196,OR(L196="331",M196="331")),"331",IF(AND(OR(L196="131",M196="131"),H196='131-CT'!$E$7),"131",""))</f>
        <v/>
      </c>
      <c r="O196" s="89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15"/>
      <c r="AC196" s="211" t="str">
        <f>IF(F196=VLOOKUP(F196,NXT!$C$12:$C$345,1,0),"","x")</f>
        <v/>
      </c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23"/>
        <v>5</v>
      </c>
      <c r="C197" s="184">
        <f t="shared" si="24"/>
        <v>41788</v>
      </c>
      <c r="D197" s="184" t="s">
        <v>936</v>
      </c>
      <c r="E197" s="749">
        <v>41788</v>
      </c>
      <c r="F197" s="296" t="s">
        <v>495</v>
      </c>
      <c r="G197" s="468" t="s">
        <v>532</v>
      </c>
      <c r="H197" s="7" t="s">
        <v>909</v>
      </c>
      <c r="I197" s="256">
        <v>500</v>
      </c>
      <c r="J197" s="256">
        <v>8600</v>
      </c>
      <c r="K197" s="568">
        <f>ROUND(I197*J197,0)</f>
        <v>4300000</v>
      </c>
      <c r="L197" s="569" t="s">
        <v>253</v>
      </c>
      <c r="M197" s="569" t="s">
        <v>177</v>
      </c>
      <c r="N197" s="52" t="str">
        <f>IF(AND('331-CT'!$E$7=TH!H197,OR(L197="331",M197="331")),"331",IF(AND(OR(L197="131",M197="131"),H197='131-CT'!$E$7),"131",""))</f>
        <v/>
      </c>
      <c r="O197" s="89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15"/>
      <c r="AC197" s="211" t="str">
        <f>IF(F197=VLOOKUP(F197,NXT!$C$12:$C$345,1,0),"","x")</f>
        <v/>
      </c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23"/>
        <v>5</v>
      </c>
      <c r="C198" s="184">
        <f t="shared" si="24"/>
        <v>41788</v>
      </c>
      <c r="D198" s="184" t="s">
        <v>936</v>
      </c>
      <c r="E198" s="749">
        <v>41788</v>
      </c>
      <c r="F198" s="296" t="s">
        <v>421</v>
      </c>
      <c r="G198" s="468" t="s">
        <v>532</v>
      </c>
      <c r="H198" s="7" t="s">
        <v>909</v>
      </c>
      <c r="I198" s="256"/>
      <c r="J198" s="256"/>
      <c r="K198" s="568">
        <v>894400</v>
      </c>
      <c r="L198" s="569" t="s">
        <v>253</v>
      </c>
      <c r="M198" s="569" t="s">
        <v>365</v>
      </c>
      <c r="N198" s="52" t="str">
        <f>IF(AND('331-CT'!$E$7=TH!H198,OR(L198="331",M198="331")),"331",IF(AND(OR(L198="131",M198="131"),H198='131-CT'!$E$7),"131",""))</f>
        <v/>
      </c>
      <c r="O198" s="89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15"/>
      <c r="AC198" s="560" t="str">
        <f>IF(VLOOKUP(H198,DS_131,1,0)&lt;&gt;"","","x")</f>
        <v/>
      </c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23"/>
        <v>5</v>
      </c>
      <c r="C199" s="184">
        <f t="shared" si="24"/>
        <v>41788</v>
      </c>
      <c r="D199" s="184" t="s">
        <v>937</v>
      </c>
      <c r="E199" s="749">
        <v>41788</v>
      </c>
      <c r="F199" s="296" t="s">
        <v>534</v>
      </c>
      <c r="G199" s="468" t="s">
        <v>535</v>
      </c>
      <c r="H199" s="7" t="s">
        <v>536</v>
      </c>
      <c r="I199" s="256">
        <v>209</v>
      </c>
      <c r="J199" s="256">
        <v>8800</v>
      </c>
      <c r="K199" s="568">
        <f>ROUND(I199*J199,0)</f>
        <v>1839200</v>
      </c>
      <c r="L199" s="569" t="s">
        <v>253</v>
      </c>
      <c r="M199" s="569" t="s">
        <v>177</v>
      </c>
      <c r="N199" s="52" t="str">
        <f>IF(AND('331-CT'!$E$7=TH!H199,OR(L199="331",M199="331")),"331",IF(AND(OR(L199="131",M199="131"),H199='131-CT'!$E$7),"131",""))</f>
        <v/>
      </c>
      <c r="O199" s="89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15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23"/>
        <v>5</v>
      </c>
      <c r="C200" s="184">
        <f t="shared" si="24"/>
        <v>41788</v>
      </c>
      <c r="D200" s="184" t="s">
        <v>937</v>
      </c>
      <c r="E200" s="184">
        <v>41788</v>
      </c>
      <c r="F200" s="189" t="s">
        <v>421</v>
      </c>
      <c r="G200" s="570" t="s">
        <v>535</v>
      </c>
      <c r="H200" s="7" t="s">
        <v>536</v>
      </c>
      <c r="I200" s="256"/>
      <c r="J200" s="256"/>
      <c r="K200" s="568">
        <v>183920</v>
      </c>
      <c r="L200" s="569" t="s">
        <v>253</v>
      </c>
      <c r="M200" s="569" t="s">
        <v>365</v>
      </c>
      <c r="N200" s="52" t="str">
        <f>IF(AND('331-CT'!$E$7=TH!H200,OR(L200="331",M200="331")),"331",IF(AND(OR(L200="131",M200="131"),H200='131-CT'!$E$7),"131",""))</f>
        <v/>
      </c>
      <c r="O200" s="89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15"/>
      <c r="AC200" s="560" t="str">
        <f>IF(VLOOKUP(H200,DS_131,1,0)&lt;&gt;"","","x")</f>
        <v/>
      </c>
      <c r="AD200" s="560"/>
      <c r="AE200" s="560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23"/>
        <v>5</v>
      </c>
      <c r="C201" s="184">
        <f t="shared" si="24"/>
        <v>41789</v>
      </c>
      <c r="D201" s="184" t="s">
        <v>938</v>
      </c>
      <c r="E201" s="184">
        <v>41789</v>
      </c>
      <c r="F201" s="189" t="s">
        <v>418</v>
      </c>
      <c r="G201" s="570" t="s">
        <v>537</v>
      </c>
      <c r="H201" s="7" t="s">
        <v>420</v>
      </c>
      <c r="I201" s="256">
        <v>1983</v>
      </c>
      <c r="J201" s="256">
        <v>5500</v>
      </c>
      <c r="K201" s="568">
        <f>ROUND(I201*J201,0)</f>
        <v>10906500</v>
      </c>
      <c r="L201" s="569" t="s">
        <v>253</v>
      </c>
      <c r="M201" s="569" t="s">
        <v>177</v>
      </c>
      <c r="N201" s="52" t="str">
        <f>IF(AND('331-CT'!$E$7=TH!H201,OR(L201="331",M201="331")),"331",IF(AND(OR(L201="131",M201="131"),H201='131-CT'!$E$7),"131",""))</f>
        <v/>
      </c>
      <c r="O201" s="89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15"/>
      <c r="AC201" s="211" t="str">
        <f>IF(F201=VLOOKUP(F201,NXT!$C$12:$C$345,1,0),"","x")</f>
        <v/>
      </c>
      <c r="AD201" s="560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23"/>
        <v>5</v>
      </c>
      <c r="C202" s="184">
        <f t="shared" si="24"/>
        <v>41789</v>
      </c>
      <c r="D202" s="184" t="s">
        <v>938</v>
      </c>
      <c r="E202" s="37">
        <v>41789</v>
      </c>
      <c r="F202" s="189" t="s">
        <v>421</v>
      </c>
      <c r="G202" s="467" t="s">
        <v>537</v>
      </c>
      <c r="H202" s="7" t="s">
        <v>420</v>
      </c>
      <c r="I202" s="257"/>
      <c r="J202" s="258"/>
      <c r="K202" s="38">
        <v>1090650</v>
      </c>
      <c r="L202" s="569" t="s">
        <v>253</v>
      </c>
      <c r="M202" s="569" t="s">
        <v>365</v>
      </c>
      <c r="N202" s="52" t="str">
        <f>IF(AND('331-CT'!$E$7=TH!H202,OR(L202="331",M202="331")),"331",IF(AND(OR(L202="131",M202="131"),H202='131-CT'!$E$7),"131",""))</f>
        <v/>
      </c>
      <c r="O202" s="89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15"/>
      <c r="AC202" s="560" t="str">
        <f>IF(VLOOKUP(H202,DS_131,1,0)&lt;&gt;"","","x")</f>
        <v/>
      </c>
      <c r="AD202" s="560"/>
      <c r="AE202" s="560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23"/>
        <v>6</v>
      </c>
      <c r="C203" s="184">
        <f t="shared" si="24"/>
        <v>41792</v>
      </c>
      <c r="D203" s="184" t="s">
        <v>940</v>
      </c>
      <c r="E203" s="37">
        <v>41792</v>
      </c>
      <c r="F203" s="189" t="s">
        <v>422</v>
      </c>
      <c r="G203" s="467" t="s">
        <v>540</v>
      </c>
      <c r="H203" s="7" t="s">
        <v>908</v>
      </c>
      <c r="I203" s="256">
        <v>1000</v>
      </c>
      <c r="J203" s="258">
        <v>17300</v>
      </c>
      <c r="K203" s="568">
        <f>ROUND(I203*J203,0)</f>
        <v>17300000</v>
      </c>
      <c r="L203" s="569" t="s">
        <v>253</v>
      </c>
      <c r="M203" s="569" t="s">
        <v>177</v>
      </c>
      <c r="N203" s="52" t="str">
        <f>IF(AND('331-CT'!$E$7=TH!H203,OR(L203="331",M203="331")),"331",IF(AND(OR(L203="131",M203="131"),H203='131-CT'!$E$7),"131",""))</f>
        <v/>
      </c>
      <c r="O203" s="89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15"/>
      <c r="AC203" s="211" t="str">
        <f>IF(F203=VLOOKUP(F203,NXT!$C$12:$C$345,1,0),"","x")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23"/>
        <v>6</v>
      </c>
      <c r="C204" s="184">
        <f t="shared" si="24"/>
        <v>41792</v>
      </c>
      <c r="D204" s="184" t="s">
        <v>940</v>
      </c>
      <c r="E204" s="37">
        <v>41792</v>
      </c>
      <c r="F204" s="189" t="s">
        <v>421</v>
      </c>
      <c r="G204" s="467" t="s">
        <v>540</v>
      </c>
      <c r="H204" s="7" t="s">
        <v>908</v>
      </c>
      <c r="I204" s="257"/>
      <c r="J204" s="258"/>
      <c r="K204" s="38">
        <v>1730000</v>
      </c>
      <c r="L204" s="569" t="s">
        <v>253</v>
      </c>
      <c r="M204" s="569" t="s">
        <v>365</v>
      </c>
      <c r="N204" s="52" t="str">
        <f>IF(AND('331-CT'!$E$7=TH!H204,OR(L204="331",M204="331")),"331",IF(AND(OR(L204="131",M204="131"),H204='131-CT'!$E$7),"131",""))</f>
        <v/>
      </c>
      <c r="O204" s="89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15"/>
      <c r="AC204" s="560" t="str">
        <f>IF(VLOOKUP(H204,DS_131,1,0)&lt;&gt;"","","x")</f>
        <v/>
      </c>
      <c r="AD204" s="560"/>
      <c r="AE204" s="560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23"/>
        <v>6</v>
      </c>
      <c r="C205" s="184">
        <f t="shared" si="24"/>
        <v>41792</v>
      </c>
      <c r="D205" s="184" t="s">
        <v>941</v>
      </c>
      <c r="E205" s="191">
        <v>41792</v>
      </c>
      <c r="F205" s="189" t="s">
        <v>541</v>
      </c>
      <c r="G205" s="468" t="s">
        <v>542</v>
      </c>
      <c r="H205" s="7" t="s">
        <v>459</v>
      </c>
      <c r="I205" s="256">
        <v>910</v>
      </c>
      <c r="J205" s="256">
        <v>5700</v>
      </c>
      <c r="K205" s="568">
        <f>ROUND(I205*J205,0)</f>
        <v>5187000</v>
      </c>
      <c r="L205" s="569" t="s">
        <v>253</v>
      </c>
      <c r="M205" s="569" t="s">
        <v>177</v>
      </c>
      <c r="N205" s="52" t="str">
        <f>IF(AND('331-CT'!$E$7=TH!H205,OR(L205="331",M205="331")),"331",IF(AND(OR(L205="131",M205="131"),H205='131-CT'!$E$7),"131",""))</f>
        <v/>
      </c>
      <c r="O205" s="89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15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23"/>
        <v>6</v>
      </c>
      <c r="C206" s="184">
        <f t="shared" si="24"/>
        <v>41792</v>
      </c>
      <c r="D206" s="184" t="s">
        <v>941</v>
      </c>
      <c r="E206" s="191">
        <v>41792</v>
      </c>
      <c r="F206" s="189" t="s">
        <v>421</v>
      </c>
      <c r="G206" s="468" t="s">
        <v>542</v>
      </c>
      <c r="H206" s="7" t="s">
        <v>459</v>
      </c>
      <c r="I206" s="256"/>
      <c r="J206" s="256"/>
      <c r="K206" s="568">
        <v>518700</v>
      </c>
      <c r="L206" s="569" t="s">
        <v>253</v>
      </c>
      <c r="M206" s="569" t="s">
        <v>365</v>
      </c>
      <c r="N206" s="52" t="str">
        <f>IF(AND('331-CT'!$E$7=TH!H206,OR(L206="331",M206="331")),"331",IF(AND(OR(L206="131",M206="131"),H206='131-CT'!$E$7),"131",""))</f>
        <v/>
      </c>
      <c r="O206" s="89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15"/>
      <c r="AC206" s="560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23"/>
        <v>6</v>
      </c>
      <c r="C207" s="184">
        <f t="shared" si="24"/>
        <v>41792</v>
      </c>
      <c r="D207" s="184" t="s">
        <v>942</v>
      </c>
      <c r="E207" s="191">
        <v>41792</v>
      </c>
      <c r="F207" s="40" t="s">
        <v>446</v>
      </c>
      <c r="G207" s="570" t="s">
        <v>543</v>
      </c>
      <c r="H207" s="7" t="s">
        <v>908</v>
      </c>
      <c r="I207" s="256">
        <v>2000</v>
      </c>
      <c r="J207" s="256">
        <v>1500</v>
      </c>
      <c r="K207" s="568">
        <f>ROUND(I207*J207,0)</f>
        <v>3000000</v>
      </c>
      <c r="L207" s="569" t="s">
        <v>253</v>
      </c>
      <c r="M207" s="569" t="s">
        <v>177</v>
      </c>
      <c r="N207" s="52" t="str">
        <f>IF(AND('331-CT'!$E$7=TH!H207,OR(L207="331",M207="331")),"331",IF(AND(OR(L207="131",M207="131"),H207='131-CT'!$E$7),"131",""))</f>
        <v/>
      </c>
      <c r="O207" s="89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15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23"/>
        <v>6</v>
      </c>
      <c r="C208" s="184">
        <f t="shared" si="24"/>
        <v>41792</v>
      </c>
      <c r="D208" s="184" t="s">
        <v>942</v>
      </c>
      <c r="E208" s="191">
        <v>41792</v>
      </c>
      <c r="F208" s="189" t="s">
        <v>421</v>
      </c>
      <c r="G208" s="468" t="s">
        <v>543</v>
      </c>
      <c r="H208" s="7" t="s">
        <v>908</v>
      </c>
      <c r="I208" s="256"/>
      <c r="J208" s="256"/>
      <c r="K208" s="568">
        <v>300000</v>
      </c>
      <c r="L208" s="569" t="s">
        <v>253</v>
      </c>
      <c r="M208" s="569" t="s">
        <v>365</v>
      </c>
      <c r="N208" s="52" t="str">
        <f>IF(AND('331-CT'!$E$7=TH!H208,OR(L208="331",M208="331")),"331",IF(AND(OR(L208="131",M208="131"),H208='131-CT'!$E$7),"131",""))</f>
        <v/>
      </c>
      <c r="O208" s="89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15"/>
      <c r="AC208" s="560" t="str">
        <f>IF(VLOOKUP(H208,DS_131,1,0)&lt;&gt;"","","x")</f>
        <v/>
      </c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23"/>
        <v>6</v>
      </c>
      <c r="C209" s="184">
        <f t="shared" si="24"/>
        <v>41794</v>
      </c>
      <c r="D209" s="184" t="s">
        <v>943</v>
      </c>
      <c r="E209" s="191">
        <v>41794</v>
      </c>
      <c r="F209" s="189" t="s">
        <v>501</v>
      </c>
      <c r="G209" s="468" t="s">
        <v>544</v>
      </c>
      <c r="H209" s="7" t="s">
        <v>503</v>
      </c>
      <c r="I209" s="256">
        <v>500</v>
      </c>
      <c r="J209" s="256">
        <v>5900</v>
      </c>
      <c r="K209" s="568">
        <f>ROUND(I209*J209,0)</f>
        <v>2950000</v>
      </c>
      <c r="L209" s="569" t="s">
        <v>253</v>
      </c>
      <c r="M209" s="569" t="s">
        <v>177</v>
      </c>
      <c r="N209" s="52" t="str">
        <f>IF(AND('331-CT'!$E$7=TH!H209,OR(L209="331",M209="331")),"331",IF(AND(OR(L209="131",M209="131"),H209='131-CT'!$E$7),"131",""))</f>
        <v/>
      </c>
      <c r="O209" s="89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15"/>
      <c r="AC209" s="211" t="str">
        <f>IF(F209=VLOOKUP(F209,NXT!$C$12:$C$345,1,0),"","x")</f>
        <v/>
      </c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23"/>
        <v>6</v>
      </c>
      <c r="C210" s="184">
        <f t="shared" si="24"/>
        <v>41794</v>
      </c>
      <c r="D210" s="184" t="s">
        <v>943</v>
      </c>
      <c r="E210" s="191">
        <v>41794</v>
      </c>
      <c r="F210" s="189" t="s">
        <v>504</v>
      </c>
      <c r="G210" s="570" t="s">
        <v>544</v>
      </c>
      <c r="H210" s="7" t="s">
        <v>503</v>
      </c>
      <c r="I210" s="256">
        <v>397</v>
      </c>
      <c r="J210" s="256">
        <v>6250</v>
      </c>
      <c r="K210" s="568">
        <f>ROUND(I210*J210,0)</f>
        <v>2481250</v>
      </c>
      <c r="L210" s="569" t="s">
        <v>253</v>
      </c>
      <c r="M210" s="569" t="s">
        <v>177</v>
      </c>
      <c r="N210" s="52" t="str">
        <f>IF(AND('331-CT'!$E$7=TH!H210,OR(L210="331",M210="331")),"331",IF(AND(OR(L210="131",M210="131"),H210='131-CT'!$E$7),"131",""))</f>
        <v/>
      </c>
      <c r="O210" s="89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15"/>
      <c r="AC210" s="211" t="str">
        <f>IF(F210=VLOOKUP(F210,NXT!$C$12:$C$345,1,0),"","x")</f>
        <v/>
      </c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23"/>
        <v>6</v>
      </c>
      <c r="C211" s="184">
        <f t="shared" si="24"/>
        <v>41794</v>
      </c>
      <c r="D211" s="184" t="s">
        <v>943</v>
      </c>
      <c r="E211" s="191">
        <v>41794</v>
      </c>
      <c r="F211" s="189" t="s">
        <v>505</v>
      </c>
      <c r="G211" s="570" t="s">
        <v>544</v>
      </c>
      <c r="H211" s="7" t="s">
        <v>503</v>
      </c>
      <c r="I211" s="256">
        <v>200</v>
      </c>
      <c r="J211" s="256">
        <v>6550</v>
      </c>
      <c r="K211" s="568">
        <f>ROUND(I211*J211,0)</f>
        <v>1310000</v>
      </c>
      <c r="L211" s="569" t="s">
        <v>253</v>
      </c>
      <c r="M211" s="569" t="s">
        <v>177</v>
      </c>
      <c r="N211" s="52" t="str">
        <f>IF(AND('331-CT'!$E$7=TH!H211,OR(L211="331",M211="331")),"331",IF(AND(OR(L211="131",M211="131"),H211='131-CT'!$E$7),"131",""))</f>
        <v/>
      </c>
      <c r="O211" s="89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15"/>
      <c r="AC211" s="211" t="str">
        <f>IF(F211=VLOOKUP(F211,NXT!$C$12:$C$345,1,0),"","x")</f>
        <v/>
      </c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23"/>
        <v>6</v>
      </c>
      <c r="C212" s="184">
        <f t="shared" si="24"/>
        <v>41794</v>
      </c>
      <c r="D212" s="184" t="s">
        <v>943</v>
      </c>
      <c r="E212" s="191">
        <v>41794</v>
      </c>
      <c r="F212" s="189" t="s">
        <v>406</v>
      </c>
      <c r="G212" s="570" t="s">
        <v>544</v>
      </c>
      <c r="H212" s="7" t="s">
        <v>503</v>
      </c>
      <c r="I212" s="256">
        <v>200</v>
      </c>
      <c r="J212" s="256">
        <v>6800</v>
      </c>
      <c r="K212" s="568">
        <f>ROUND(I212*J212,0)</f>
        <v>1360000</v>
      </c>
      <c r="L212" s="569" t="s">
        <v>253</v>
      </c>
      <c r="M212" s="569" t="s">
        <v>177</v>
      </c>
      <c r="N212" s="52" t="str">
        <f>IF(AND('331-CT'!$E$7=TH!H212,OR(L212="331",M212="331")),"331",IF(AND(OR(L212="131",M212="131"),H212='131-CT'!$E$7),"131",""))</f>
        <v/>
      </c>
      <c r="O212" s="89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15"/>
      <c r="AC212" s="211" t="str">
        <f>IF(F212=VLOOKUP(F212,NXT!$C$12:$C$345,1,0),"","x")</f>
        <v/>
      </c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23"/>
        <v>6</v>
      </c>
      <c r="C213" s="184">
        <f t="shared" si="24"/>
        <v>41794</v>
      </c>
      <c r="D213" s="184" t="s">
        <v>943</v>
      </c>
      <c r="E213" s="191">
        <v>41794</v>
      </c>
      <c r="F213" s="189" t="s">
        <v>421</v>
      </c>
      <c r="G213" s="570" t="s">
        <v>544</v>
      </c>
      <c r="H213" s="7" t="s">
        <v>503</v>
      </c>
      <c r="I213" s="256"/>
      <c r="J213" s="256"/>
      <c r="K213" s="568">
        <v>810125</v>
      </c>
      <c r="L213" s="569" t="s">
        <v>253</v>
      </c>
      <c r="M213" s="569" t="s">
        <v>365</v>
      </c>
      <c r="N213" s="52" t="str">
        <f>IF(AND('331-CT'!$E$7=TH!H213,OR(L213="331",M213="331")),"331",IF(AND(OR(L213="131",M213="131"),H213='131-CT'!$E$7),"131",""))</f>
        <v/>
      </c>
      <c r="O213" s="89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15"/>
      <c r="AC213" s="560" t="str">
        <f>IF(VLOOKUP(H213,DS_131,1,0)&lt;&gt;"","","x")</f>
        <v/>
      </c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23"/>
        <v>6</v>
      </c>
      <c r="C214" s="184">
        <f t="shared" si="24"/>
        <v>41795</v>
      </c>
      <c r="D214" s="184" t="s">
        <v>944</v>
      </c>
      <c r="E214" s="37">
        <v>41795</v>
      </c>
      <c r="F214" s="40" t="s">
        <v>545</v>
      </c>
      <c r="G214" s="465" t="s">
        <v>546</v>
      </c>
      <c r="H214" s="45" t="s">
        <v>547</v>
      </c>
      <c r="I214" s="256">
        <v>190</v>
      </c>
      <c r="J214" s="256">
        <v>24000</v>
      </c>
      <c r="K214" s="568">
        <f>ROUND(I214*J214,0)</f>
        <v>4560000</v>
      </c>
      <c r="L214" s="569" t="s">
        <v>253</v>
      </c>
      <c r="M214" s="569" t="s">
        <v>177</v>
      </c>
      <c r="N214" s="52" t="str">
        <f>IF(AND('331-CT'!$E$7=TH!H214,OR(L214="331",M214="331")),"331",IF(AND(OR(L214="131",M214="131"),H214='131-CT'!$E$7),"131",""))</f>
        <v/>
      </c>
      <c r="O214" s="89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15"/>
      <c r="AC214" s="211" t="str">
        <f>IF(F214=VLOOKUP(F214,NXT!$C$12:$C$345,1,0),"","x")</f>
        <v/>
      </c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23"/>
        <v>6</v>
      </c>
      <c r="C215" s="184">
        <f t="shared" si="24"/>
        <v>41795</v>
      </c>
      <c r="D215" s="184" t="s">
        <v>944</v>
      </c>
      <c r="E215" s="37">
        <v>41795</v>
      </c>
      <c r="F215" s="40" t="s">
        <v>548</v>
      </c>
      <c r="G215" s="465" t="s">
        <v>546</v>
      </c>
      <c r="H215" s="45" t="s">
        <v>547</v>
      </c>
      <c r="I215" s="256">
        <v>190</v>
      </c>
      <c r="J215" s="256">
        <v>26000</v>
      </c>
      <c r="K215" s="568">
        <f>ROUND(I215*J215,0)</f>
        <v>4940000</v>
      </c>
      <c r="L215" s="569" t="s">
        <v>253</v>
      </c>
      <c r="M215" s="569" t="s">
        <v>177</v>
      </c>
      <c r="N215" s="52" t="str">
        <f>IF(AND('331-CT'!$E$7=TH!H215,OR(L215="331",M215="331")),"331",IF(AND(OR(L215="131",M215="131"),H215='131-CT'!$E$7),"131",""))</f>
        <v/>
      </c>
      <c r="O215" s="89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15"/>
      <c r="AC215" s="211" t="str">
        <f>IF(F215=VLOOKUP(F215,NXT!$C$12:$C$345,1,0),"","x")</f>
        <v/>
      </c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23"/>
        <v>6</v>
      </c>
      <c r="C216" s="184">
        <f t="shared" si="24"/>
        <v>41795</v>
      </c>
      <c r="D216" s="184" t="s">
        <v>944</v>
      </c>
      <c r="E216" s="37">
        <v>41795</v>
      </c>
      <c r="F216" s="40" t="s">
        <v>421</v>
      </c>
      <c r="G216" s="467" t="s">
        <v>546</v>
      </c>
      <c r="H216" s="44" t="s">
        <v>547</v>
      </c>
      <c r="I216" s="256"/>
      <c r="J216" s="256"/>
      <c r="K216" s="568">
        <v>950000</v>
      </c>
      <c r="L216" s="569" t="s">
        <v>253</v>
      </c>
      <c r="M216" s="569" t="s">
        <v>365</v>
      </c>
      <c r="N216" s="52" t="str">
        <f>IF(AND('331-CT'!$E$7=TH!H216,OR(L216="331",M216="331")),"331",IF(AND(OR(L216="131",M216="131"),H216='131-CT'!$E$7),"131",""))</f>
        <v/>
      </c>
      <c r="O216" s="89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15"/>
      <c r="AC216" s="560" t="str">
        <f>IF(VLOOKUP(H216,DS_131,1,0)&lt;&gt;"","","x")</f>
        <v/>
      </c>
      <c r="AD216" s="560"/>
      <c r="AE216" s="560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23"/>
        <v>6</v>
      </c>
      <c r="C217" s="184">
        <f t="shared" si="24"/>
        <v>41795</v>
      </c>
      <c r="D217" s="184" t="s">
        <v>945</v>
      </c>
      <c r="E217" s="37">
        <v>41795</v>
      </c>
      <c r="F217" s="40" t="s">
        <v>549</v>
      </c>
      <c r="G217" s="467" t="s">
        <v>550</v>
      </c>
      <c r="H217" s="44" t="s">
        <v>551</v>
      </c>
      <c r="I217" s="257">
        <v>100</v>
      </c>
      <c r="J217" s="258">
        <v>9000</v>
      </c>
      <c r="K217" s="568">
        <f>ROUND(I217*J217,0)</f>
        <v>900000</v>
      </c>
      <c r="L217" s="569" t="s">
        <v>253</v>
      </c>
      <c r="M217" s="569" t="s">
        <v>177</v>
      </c>
      <c r="N217" s="52" t="str">
        <f>IF(AND('331-CT'!$E$7=TH!H217,OR(L217="331",M217="331")),"331",IF(AND(OR(L217="131",M217="131"),H217='131-CT'!$E$7),"131",""))</f>
        <v/>
      </c>
      <c r="O217" s="89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15"/>
      <c r="AC217" s="211" t="str">
        <f>IF(F217=VLOOKUP(F217,NXT!$C$12:$C$345,1,0),"","x")</f>
        <v/>
      </c>
      <c r="AD217" s="560"/>
      <c r="AE217" s="560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3"/>
        <v>6</v>
      </c>
      <c r="C218" s="184">
        <f t="shared" si="24"/>
        <v>41795</v>
      </c>
      <c r="D218" s="184" t="s">
        <v>945</v>
      </c>
      <c r="E218" s="37">
        <v>41795</v>
      </c>
      <c r="F218" s="40" t="s">
        <v>552</v>
      </c>
      <c r="G218" s="467" t="s">
        <v>550</v>
      </c>
      <c r="H218" s="44" t="s">
        <v>551</v>
      </c>
      <c r="I218" s="257">
        <v>200</v>
      </c>
      <c r="J218" s="257">
        <v>6400</v>
      </c>
      <c r="K218" s="568">
        <f>ROUND(I218*J218,0)</f>
        <v>1280000</v>
      </c>
      <c r="L218" s="569" t="s">
        <v>253</v>
      </c>
      <c r="M218" s="569" t="s">
        <v>177</v>
      </c>
      <c r="N218" s="52" t="str">
        <f>IF(AND('331-CT'!$E$7=TH!H218,OR(L218="331",M218="331")),"331",IF(AND(OR(L218="131",M218="131"),H218='131-CT'!$E$7),"131",""))</f>
        <v/>
      </c>
      <c r="O218" s="89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15"/>
      <c r="AC218" s="211" t="str">
        <f>IF(F218=VLOOKUP(F218,NXT!$C$12:$C$345,1,0),"","x")</f>
        <v/>
      </c>
      <c r="AE218" s="560"/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3"/>
        <v>6</v>
      </c>
      <c r="C219" s="184">
        <f t="shared" si="24"/>
        <v>41795</v>
      </c>
      <c r="D219" s="184" t="s">
        <v>945</v>
      </c>
      <c r="E219" s="184">
        <v>41795</v>
      </c>
      <c r="F219" s="296" t="s">
        <v>421</v>
      </c>
      <c r="G219" s="570" t="s">
        <v>550</v>
      </c>
      <c r="H219" s="7" t="s">
        <v>551</v>
      </c>
      <c r="I219" s="256"/>
      <c r="J219" s="256"/>
      <c r="K219" s="568">
        <v>218000</v>
      </c>
      <c r="L219" s="569" t="s">
        <v>253</v>
      </c>
      <c r="M219" s="569" t="s">
        <v>365</v>
      </c>
      <c r="N219" s="52" t="str">
        <f>IF(AND('331-CT'!$E$7=TH!H219,OR(L219="331",M219="331")),"331",IF(AND(OR(L219="131",M219="131"),H219='131-CT'!$E$7),"131",""))</f>
        <v/>
      </c>
      <c r="O219" s="89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15"/>
      <c r="AC219" s="560" t="str">
        <f>IF(VLOOKUP(H219,DS_131,1,0)&lt;&gt;"","","x")</f>
        <v/>
      </c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3"/>
        <v>6</v>
      </c>
      <c r="C220" s="184">
        <f t="shared" si="24"/>
        <v>41806</v>
      </c>
      <c r="D220" s="184" t="s">
        <v>947</v>
      </c>
      <c r="E220" s="184">
        <v>41806</v>
      </c>
      <c r="F220" s="189" t="s">
        <v>555</v>
      </c>
      <c r="G220" s="468" t="s">
        <v>556</v>
      </c>
      <c r="H220" s="7" t="s">
        <v>455</v>
      </c>
      <c r="I220" s="256">
        <v>398</v>
      </c>
      <c r="J220" s="256">
        <v>25000</v>
      </c>
      <c r="K220" s="568">
        <f>ROUND(I220*J220,0)</f>
        <v>9950000</v>
      </c>
      <c r="L220" s="569" t="s">
        <v>253</v>
      </c>
      <c r="M220" s="569" t="s">
        <v>177</v>
      </c>
      <c r="N220" s="52" t="str">
        <f>IF(AND('331-CT'!$E$7=TH!H220,OR(L220="331",M220="331")),"331",IF(AND(OR(L220="131",M220="131"),H220='131-CT'!$E$7),"131",""))</f>
        <v/>
      </c>
      <c r="O220" s="89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15"/>
      <c r="AC220" s="211" t="str">
        <f>IF(F220=VLOOKUP(F220,NXT!$C$12:$C$345,1,0),"","x")</f>
        <v/>
      </c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3"/>
        <v>6</v>
      </c>
      <c r="C221" s="184">
        <f t="shared" si="24"/>
        <v>41806</v>
      </c>
      <c r="D221" s="184" t="s">
        <v>947</v>
      </c>
      <c r="E221" s="184">
        <v>41806</v>
      </c>
      <c r="F221" s="189" t="s">
        <v>421</v>
      </c>
      <c r="G221" s="468" t="s">
        <v>556</v>
      </c>
      <c r="H221" s="7" t="s">
        <v>455</v>
      </c>
      <c r="I221" s="256"/>
      <c r="J221" s="256"/>
      <c r="K221" s="568">
        <v>995000</v>
      </c>
      <c r="L221" s="569" t="s">
        <v>253</v>
      </c>
      <c r="M221" s="569" t="s">
        <v>365</v>
      </c>
      <c r="N221" s="52" t="str">
        <f>IF(AND('331-CT'!$E$7=TH!H221,OR(L221="331",M221="331")),"331",IF(AND(OR(L221="131",M221="131"),H221='131-CT'!$E$7),"131",""))</f>
        <v/>
      </c>
      <c r="O221" s="89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15"/>
      <c r="AC221" s="560" t="str">
        <f>IF(VLOOKUP(H221,DS_131,1,0)&lt;&gt;"","","x")</f>
        <v/>
      </c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3"/>
        <v>6</v>
      </c>
      <c r="C222" s="184">
        <f t="shared" si="24"/>
        <v>41807</v>
      </c>
      <c r="D222" s="184" t="s">
        <v>948</v>
      </c>
      <c r="E222" s="184">
        <v>41807</v>
      </c>
      <c r="F222" s="189" t="s">
        <v>553</v>
      </c>
      <c r="G222" s="465" t="s">
        <v>557</v>
      </c>
      <c r="H222" s="7" t="s">
        <v>909</v>
      </c>
      <c r="I222" s="257">
        <v>150</v>
      </c>
      <c r="J222" s="256">
        <v>10500</v>
      </c>
      <c r="K222" s="568">
        <f>ROUND(I222*J222,0)</f>
        <v>1575000</v>
      </c>
      <c r="L222" s="569" t="s">
        <v>253</v>
      </c>
      <c r="M222" s="569" t="s">
        <v>177</v>
      </c>
      <c r="N222" s="52" t="str">
        <f>IF(AND('331-CT'!$E$7=TH!H222,OR(L222="331",M222="331")),"331",IF(AND(OR(L222="131",M222="131"),H222='131-CT'!$E$7),"131",""))</f>
        <v/>
      </c>
      <c r="O222" s="89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15"/>
      <c r="AC222" s="211" t="str">
        <f>IF(F222=VLOOKUP(F222,NXT!$C$12:$C$345,1,0),"","x")</f>
        <v/>
      </c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3"/>
        <v>6</v>
      </c>
      <c r="C223" s="184">
        <f t="shared" si="24"/>
        <v>41807</v>
      </c>
      <c r="D223" s="184" t="s">
        <v>948</v>
      </c>
      <c r="E223" s="184">
        <v>41807</v>
      </c>
      <c r="F223" s="189" t="s">
        <v>421</v>
      </c>
      <c r="G223" s="465" t="s">
        <v>557</v>
      </c>
      <c r="H223" s="7" t="s">
        <v>909</v>
      </c>
      <c r="I223" s="257"/>
      <c r="J223" s="256"/>
      <c r="K223" s="568">
        <v>157500</v>
      </c>
      <c r="L223" s="569" t="s">
        <v>253</v>
      </c>
      <c r="M223" s="569" t="s">
        <v>365</v>
      </c>
      <c r="N223" s="52" t="str">
        <f>IF(AND('331-CT'!$E$7=TH!H223,OR(L223="331",M223="331")),"331",IF(AND(OR(L223="131",M223="131"),H223='131-CT'!$E$7),"131",""))</f>
        <v/>
      </c>
      <c r="O223" s="89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15"/>
      <c r="AC223" s="560" t="str">
        <f>IF(VLOOKUP(H223,DS_131,1,0)&lt;&gt;"","","x")</f>
        <v/>
      </c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3"/>
        <v>6</v>
      </c>
      <c r="C224" s="184">
        <f t="shared" si="24"/>
        <v>41810</v>
      </c>
      <c r="D224" s="184" t="s">
        <v>949</v>
      </c>
      <c r="E224" s="184">
        <v>41810</v>
      </c>
      <c r="F224" s="189" t="s">
        <v>495</v>
      </c>
      <c r="G224" s="570" t="s">
        <v>558</v>
      </c>
      <c r="H224" s="7" t="s">
        <v>909</v>
      </c>
      <c r="I224" s="256">
        <v>542</v>
      </c>
      <c r="J224" s="256">
        <v>8600</v>
      </c>
      <c r="K224" s="568">
        <f>ROUND(I224*J224,0)</f>
        <v>4661200</v>
      </c>
      <c r="L224" s="569" t="s">
        <v>253</v>
      </c>
      <c r="M224" s="569" t="s">
        <v>177</v>
      </c>
      <c r="N224" s="52" t="str">
        <f>IF(AND('331-CT'!$E$7=TH!H224,OR(L224="331",M224="331")),"331",IF(AND(OR(L224="131",M224="131"),H224='131-CT'!$E$7),"131",""))</f>
        <v/>
      </c>
      <c r="O224" s="89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15"/>
      <c r="AC224" s="211" t="str">
        <f>IF(F224=VLOOKUP(F224,NXT!$C$12:$C$345,1,0),"","x")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3"/>
        <v>6</v>
      </c>
      <c r="C225" s="184">
        <f t="shared" si="24"/>
        <v>41810</v>
      </c>
      <c r="D225" s="184" t="s">
        <v>949</v>
      </c>
      <c r="E225" s="184">
        <v>41810</v>
      </c>
      <c r="F225" s="189" t="s">
        <v>421</v>
      </c>
      <c r="G225" s="570" t="s">
        <v>558</v>
      </c>
      <c r="H225" s="7" t="s">
        <v>909</v>
      </c>
      <c r="I225" s="256"/>
      <c r="J225" s="256"/>
      <c r="K225" s="568">
        <v>466120</v>
      </c>
      <c r="L225" s="569" t="s">
        <v>253</v>
      </c>
      <c r="M225" s="569" t="s">
        <v>365</v>
      </c>
      <c r="N225" s="52" t="str">
        <f>IF(AND('331-CT'!$E$7=TH!H225,OR(L225="331",M225="331")),"331",IF(AND(OR(L225="131",M225="131"),H225='131-CT'!$E$7),"131",""))</f>
        <v/>
      </c>
      <c r="O225" s="89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15"/>
      <c r="AC225" s="560" t="str">
        <f>IF(VLOOKUP(H225,DS_131,1,0)&lt;&gt;"","","x")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3"/>
        <v>6</v>
      </c>
      <c r="C226" s="184">
        <f t="shared" si="24"/>
        <v>41813</v>
      </c>
      <c r="D226" s="184" t="s">
        <v>950</v>
      </c>
      <c r="E226" s="37">
        <v>41813</v>
      </c>
      <c r="F226" s="40" t="s">
        <v>460</v>
      </c>
      <c r="G226" s="465" t="s">
        <v>559</v>
      </c>
      <c r="H226" s="45" t="s">
        <v>462</v>
      </c>
      <c r="I226" s="256">
        <v>984</v>
      </c>
      <c r="J226" s="256">
        <v>8740</v>
      </c>
      <c r="K226" s="568">
        <f>ROUND(I226*J226,0)</f>
        <v>8600160</v>
      </c>
      <c r="L226" s="569" t="s">
        <v>253</v>
      </c>
      <c r="M226" s="569" t="s">
        <v>177</v>
      </c>
      <c r="N226" s="52" t="str">
        <f>IF(AND('331-CT'!$E$7=TH!H226,OR(L226="331",M226="331")),"331",IF(AND(OR(L226="131",M226="131"),H226='131-CT'!$E$7),"131",""))</f>
        <v/>
      </c>
      <c r="O226" s="89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15"/>
      <c r="AC226" s="211" t="str">
        <f>IF(F226=VLOOKUP(F226,NXT!$C$12:$C$345,1,0),"","x")</f>
        <v/>
      </c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3"/>
        <v>6</v>
      </c>
      <c r="C227" s="184">
        <f t="shared" si="24"/>
        <v>41813</v>
      </c>
      <c r="D227" s="184" t="s">
        <v>950</v>
      </c>
      <c r="E227" s="37">
        <v>41813</v>
      </c>
      <c r="F227" s="40" t="s">
        <v>421</v>
      </c>
      <c r="G227" s="465" t="s">
        <v>559</v>
      </c>
      <c r="H227" s="45" t="s">
        <v>462</v>
      </c>
      <c r="I227" s="256"/>
      <c r="J227" s="256"/>
      <c r="K227" s="38">
        <v>860016</v>
      </c>
      <c r="L227" s="569" t="s">
        <v>253</v>
      </c>
      <c r="M227" s="569" t="s">
        <v>365</v>
      </c>
      <c r="N227" s="52" t="str">
        <f>IF(AND('331-CT'!$E$7=TH!H227,OR(L227="331",M227="331")),"331",IF(AND(OR(L227="131",M227="131"),H227='131-CT'!$E$7),"131",""))</f>
        <v/>
      </c>
      <c r="O227" s="89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15"/>
      <c r="AC227" s="560" t="str">
        <f>IF(VLOOKUP(H227,DS_131,1,0)&lt;&gt;"","","x")</f>
        <v/>
      </c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3"/>
        <v>6</v>
      </c>
      <c r="C228" s="184">
        <f t="shared" si="24"/>
        <v>41814</v>
      </c>
      <c r="D228" s="184" t="s">
        <v>951</v>
      </c>
      <c r="E228" s="37">
        <v>41814</v>
      </c>
      <c r="F228" s="40" t="s">
        <v>560</v>
      </c>
      <c r="G228" s="465" t="s">
        <v>561</v>
      </c>
      <c r="H228" s="45" t="s">
        <v>562</v>
      </c>
      <c r="I228" s="257">
        <v>396</v>
      </c>
      <c r="J228" s="256">
        <v>17600</v>
      </c>
      <c r="K228" s="568">
        <f>ROUND(I228*J228,0)</f>
        <v>6969600</v>
      </c>
      <c r="L228" s="569" t="s">
        <v>253</v>
      </c>
      <c r="M228" s="569" t="s">
        <v>177</v>
      </c>
      <c r="N228" s="52" t="str">
        <f>IF(AND('331-CT'!$E$7=TH!H228,OR(L228="331",M228="331")),"331",IF(AND(OR(L228="131",M228="131"),H228='131-CT'!$E$7),"131",""))</f>
        <v/>
      </c>
      <c r="O228" s="89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15"/>
      <c r="AC228" s="211" t="str">
        <f>IF(F228=VLOOKUP(F228,NXT!$C$12:$C$345,1,0),"","x")</f>
        <v/>
      </c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3"/>
        <v>6</v>
      </c>
      <c r="C229" s="184">
        <f t="shared" si="24"/>
        <v>41814</v>
      </c>
      <c r="D229" s="184" t="s">
        <v>951</v>
      </c>
      <c r="E229" s="184">
        <v>41814</v>
      </c>
      <c r="F229" s="189" t="s">
        <v>563</v>
      </c>
      <c r="G229" s="570" t="s">
        <v>561</v>
      </c>
      <c r="H229" s="7" t="s">
        <v>562</v>
      </c>
      <c r="I229" s="256">
        <v>100</v>
      </c>
      <c r="J229" s="256">
        <v>16500</v>
      </c>
      <c r="K229" s="568">
        <f>ROUND(I229*J229,0)</f>
        <v>1650000</v>
      </c>
      <c r="L229" s="569" t="s">
        <v>253</v>
      </c>
      <c r="M229" s="569" t="s">
        <v>177</v>
      </c>
      <c r="N229" s="52" t="str">
        <f>IF(AND('331-CT'!$E$7=TH!H229,OR(L229="331",M229="331")),"331",IF(AND(OR(L229="131",M229="131"),H229='131-CT'!$E$7),"131",""))</f>
        <v/>
      </c>
      <c r="O229" s="89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15"/>
      <c r="AC229" s="211" t="str">
        <f>IF(F229=VLOOKUP(F229,NXT!$C$12:$C$345,1,0),"","x")</f>
        <v/>
      </c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3"/>
        <v>6</v>
      </c>
      <c r="C230" s="184">
        <f t="shared" si="24"/>
        <v>41814</v>
      </c>
      <c r="D230" s="184" t="s">
        <v>951</v>
      </c>
      <c r="E230" s="184">
        <v>41814</v>
      </c>
      <c r="F230" s="189" t="s">
        <v>421</v>
      </c>
      <c r="G230" s="468" t="s">
        <v>561</v>
      </c>
      <c r="H230" s="7" t="s">
        <v>562</v>
      </c>
      <c r="I230" s="256"/>
      <c r="J230" s="256"/>
      <c r="K230" s="568">
        <v>861960</v>
      </c>
      <c r="L230" s="569" t="s">
        <v>253</v>
      </c>
      <c r="M230" s="569" t="s">
        <v>365</v>
      </c>
      <c r="N230" s="52" t="str">
        <f>IF(AND('331-CT'!$E$7=TH!H230,OR(L230="331",M230="331")),"331",IF(AND(OR(L230="131",M230="131"),H230='131-CT'!$E$7),"131",""))</f>
        <v/>
      </c>
      <c r="O230" s="89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15"/>
      <c r="AC230" s="560" t="str">
        <f>IF(VLOOKUP(H230,DS_131,1,0)&lt;&gt;"","","x")</f>
        <v/>
      </c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3"/>
        <v>6</v>
      </c>
      <c r="C231" s="184">
        <f t="shared" si="24"/>
        <v>41815</v>
      </c>
      <c r="D231" s="184" t="s">
        <v>952</v>
      </c>
      <c r="E231" s="184">
        <v>41815</v>
      </c>
      <c r="F231" s="189" t="s">
        <v>564</v>
      </c>
      <c r="G231" s="468" t="s">
        <v>565</v>
      </c>
      <c r="H231" s="7" t="s">
        <v>426</v>
      </c>
      <c r="I231" s="256">
        <v>541</v>
      </c>
      <c r="J231" s="256">
        <v>12150</v>
      </c>
      <c r="K231" s="568">
        <f>ROUND(I231*J231,0)</f>
        <v>6573150</v>
      </c>
      <c r="L231" s="569" t="s">
        <v>253</v>
      </c>
      <c r="M231" s="569" t="s">
        <v>177</v>
      </c>
      <c r="N231" s="52" t="str">
        <f>IF(AND('331-CT'!$E$7=TH!H231,OR(L231="331",M231="331")),"331",IF(AND(OR(L231="131",M231="131"),H231='131-CT'!$E$7),"131",""))</f>
        <v>131</v>
      </c>
      <c r="O231" s="89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15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3"/>
        <v>6</v>
      </c>
      <c r="C232" s="184">
        <f t="shared" si="24"/>
        <v>41815</v>
      </c>
      <c r="D232" s="184" t="s">
        <v>952</v>
      </c>
      <c r="E232" s="184">
        <v>41815</v>
      </c>
      <c r="F232" s="189" t="s">
        <v>421</v>
      </c>
      <c r="G232" s="570" t="s">
        <v>565</v>
      </c>
      <c r="H232" s="7" t="s">
        <v>426</v>
      </c>
      <c r="I232" s="256"/>
      <c r="J232" s="256"/>
      <c r="K232" s="568">
        <v>657315</v>
      </c>
      <c r="L232" s="569" t="s">
        <v>253</v>
      </c>
      <c r="M232" s="569" t="s">
        <v>365</v>
      </c>
      <c r="N232" s="52" t="str">
        <f>IF(AND('331-CT'!$E$7=TH!H232,OR(L232="331",M232="331")),"331",IF(AND(OR(L232="131",M232="131"),H232='131-CT'!$E$7),"131",""))</f>
        <v>131</v>
      </c>
      <c r="O232" s="89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15"/>
      <c r="AC232" s="560" t="str">
        <f>IF(VLOOKUP(H232,DS_131,1,0)&lt;&gt;"","","x")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3"/>
        <v>6</v>
      </c>
      <c r="C233" s="184">
        <f t="shared" si="24"/>
        <v>41818</v>
      </c>
      <c r="D233" s="184" t="s">
        <v>953</v>
      </c>
      <c r="E233" s="184">
        <v>41818</v>
      </c>
      <c r="F233" s="189" t="s">
        <v>418</v>
      </c>
      <c r="G233" s="570" t="s">
        <v>566</v>
      </c>
      <c r="H233" s="7" t="s">
        <v>420</v>
      </c>
      <c r="I233" s="256">
        <v>2917</v>
      </c>
      <c r="J233" s="256">
        <v>5500</v>
      </c>
      <c r="K233" s="568">
        <f>ROUND(I233*J233,0)</f>
        <v>16043500</v>
      </c>
      <c r="L233" s="569" t="s">
        <v>253</v>
      </c>
      <c r="M233" s="569" t="s">
        <v>177</v>
      </c>
      <c r="N233" s="52" t="str">
        <f>IF(AND('331-CT'!$E$7=TH!H233,OR(L233="331",M233="331")),"331",IF(AND(OR(L233="131",M233="131"),H233='131-CT'!$E$7),"131",""))</f>
        <v/>
      </c>
      <c r="O233" s="89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15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3"/>
        <v>6</v>
      </c>
      <c r="C234" s="184">
        <f t="shared" si="24"/>
        <v>41818</v>
      </c>
      <c r="D234" s="184" t="s">
        <v>953</v>
      </c>
      <c r="E234" s="184">
        <v>41818</v>
      </c>
      <c r="F234" s="189" t="s">
        <v>421</v>
      </c>
      <c r="G234" s="570" t="s">
        <v>566</v>
      </c>
      <c r="H234" s="7" t="s">
        <v>420</v>
      </c>
      <c r="I234" s="256"/>
      <c r="J234" s="256"/>
      <c r="K234" s="568">
        <v>1604350</v>
      </c>
      <c r="L234" s="569" t="s">
        <v>253</v>
      </c>
      <c r="M234" s="569" t="s">
        <v>365</v>
      </c>
      <c r="N234" s="52" t="str">
        <f>IF(AND('331-CT'!$E$7=TH!H234,OR(L234="331",M234="331")),"331",IF(AND(OR(L234="131",M234="131"),H234='131-CT'!$E$7),"131",""))</f>
        <v/>
      </c>
      <c r="O234" s="89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15"/>
      <c r="AC234" s="560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3"/>
        <v>6</v>
      </c>
      <c r="C235" s="184">
        <f t="shared" si="24"/>
        <v>41820</v>
      </c>
      <c r="D235" s="184" t="s">
        <v>954</v>
      </c>
      <c r="E235" s="184">
        <v>41820</v>
      </c>
      <c r="F235" s="189" t="s">
        <v>567</v>
      </c>
      <c r="G235" s="570" t="s">
        <v>568</v>
      </c>
      <c r="H235" s="7" t="s">
        <v>439</v>
      </c>
      <c r="I235" s="256">
        <v>550</v>
      </c>
      <c r="J235" s="256">
        <v>10500</v>
      </c>
      <c r="K235" s="568">
        <f>ROUND(I235*J235,0)</f>
        <v>5775000</v>
      </c>
      <c r="L235" s="569" t="s">
        <v>253</v>
      </c>
      <c r="M235" s="569" t="s">
        <v>177</v>
      </c>
      <c r="N235" s="52" t="str">
        <f>IF(AND('331-CT'!$E$7=TH!H235,OR(L235="331",M235="331")),"331",IF(AND(OR(L235="131",M235="131"),H235='131-CT'!$E$7),"131",""))</f>
        <v/>
      </c>
      <c r="O235" s="89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15"/>
      <c r="AC235" s="211" t="str">
        <f>IF(F235=VLOOKUP(F235,NXT!$C$12:$C$345,1,0),"","x")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3"/>
        <v>6</v>
      </c>
      <c r="C236" s="184">
        <f t="shared" si="24"/>
        <v>41820</v>
      </c>
      <c r="D236" s="184" t="s">
        <v>954</v>
      </c>
      <c r="E236" s="184">
        <v>41820</v>
      </c>
      <c r="F236" s="189" t="s">
        <v>437</v>
      </c>
      <c r="G236" s="570" t="s">
        <v>568</v>
      </c>
      <c r="H236" s="7" t="s">
        <v>439</v>
      </c>
      <c r="I236" s="256">
        <v>500</v>
      </c>
      <c r="J236" s="256">
        <v>10500</v>
      </c>
      <c r="K236" s="568">
        <f>ROUND(I236*J236,0)</f>
        <v>5250000</v>
      </c>
      <c r="L236" s="569" t="s">
        <v>253</v>
      </c>
      <c r="M236" s="569" t="s">
        <v>177</v>
      </c>
      <c r="N236" s="52" t="str">
        <f>IF(AND('331-CT'!$E$7=TH!H236,OR(L236="331",M236="331")),"331",IF(AND(OR(L236="131",M236="131"),H236='131-CT'!$E$7),"131",""))</f>
        <v/>
      </c>
      <c r="O236" s="89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15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3"/>
        <v>6</v>
      </c>
      <c r="C237" s="184">
        <f t="shared" si="24"/>
        <v>41820</v>
      </c>
      <c r="D237" s="184" t="s">
        <v>954</v>
      </c>
      <c r="E237" s="184">
        <v>41820</v>
      </c>
      <c r="F237" s="189" t="s">
        <v>421</v>
      </c>
      <c r="G237" s="468" t="s">
        <v>568</v>
      </c>
      <c r="H237" s="7" t="s">
        <v>439</v>
      </c>
      <c r="I237" s="256"/>
      <c r="J237" s="256"/>
      <c r="K237" s="568">
        <v>1102500</v>
      </c>
      <c r="L237" s="569" t="s">
        <v>253</v>
      </c>
      <c r="M237" s="569" t="s">
        <v>365</v>
      </c>
      <c r="N237" s="52" t="str">
        <f>IF(AND('331-CT'!$E$7=TH!H237,OR(L237="331",M237="331")),"331",IF(AND(OR(L237="131",M237="131"),H237='131-CT'!$E$7),"131",""))</f>
        <v/>
      </c>
      <c r="O237" s="89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15"/>
      <c r="AC237" s="560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3"/>
        <v>6</v>
      </c>
      <c r="C238" s="184">
        <f t="shared" si="24"/>
        <v>41820</v>
      </c>
      <c r="D238" s="184" t="s">
        <v>955</v>
      </c>
      <c r="E238" s="184">
        <v>41820</v>
      </c>
      <c r="F238" s="189" t="s">
        <v>569</v>
      </c>
      <c r="G238" s="570" t="s">
        <v>570</v>
      </c>
      <c r="H238" s="7" t="s">
        <v>909</v>
      </c>
      <c r="I238" s="256">
        <v>203</v>
      </c>
      <c r="J238" s="256">
        <v>9800</v>
      </c>
      <c r="K238" s="568">
        <f>ROUND(I238*J238,0)</f>
        <v>1989400</v>
      </c>
      <c r="L238" s="569" t="s">
        <v>253</v>
      </c>
      <c r="M238" s="569" t="s">
        <v>177</v>
      </c>
      <c r="N238" s="52" t="str">
        <f>IF(AND('331-CT'!$E$7=TH!H238,OR(L238="331",M238="331")),"331",IF(AND(OR(L238="131",M238="131"),H238='131-CT'!$E$7),"131",""))</f>
        <v/>
      </c>
      <c r="O238" s="89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15"/>
      <c r="AC238" s="211" t="str">
        <f>IF(F238=VLOOKUP(F238,NXT!$C$12:$C$345,1,0),"","x")</f>
        <v/>
      </c>
      <c r="AD238" s="560"/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3"/>
        <v>6</v>
      </c>
      <c r="C239" s="184">
        <f t="shared" si="24"/>
        <v>41820</v>
      </c>
      <c r="D239" s="184" t="s">
        <v>955</v>
      </c>
      <c r="E239" s="37">
        <v>41820</v>
      </c>
      <c r="F239" s="189" t="s">
        <v>488</v>
      </c>
      <c r="G239" s="467" t="s">
        <v>570</v>
      </c>
      <c r="H239" s="7" t="s">
        <v>909</v>
      </c>
      <c r="I239" s="256">
        <v>205</v>
      </c>
      <c r="J239" s="258">
        <v>6400</v>
      </c>
      <c r="K239" s="568">
        <f>ROUND(I239*J239,0)</f>
        <v>1312000</v>
      </c>
      <c r="L239" s="569" t="s">
        <v>253</v>
      </c>
      <c r="M239" s="569" t="s">
        <v>177</v>
      </c>
      <c r="N239" s="52" t="str">
        <f>IF(AND('331-CT'!$E$7=TH!H239,OR(L239="331",M239="331")),"331",IF(AND(OR(L239="131",M239="131"),H239='131-CT'!$E$7),"131",""))</f>
        <v/>
      </c>
      <c r="O239" s="89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15"/>
      <c r="AC239" s="211" t="str">
        <f>IF(F239=VLOOKUP(F239,NXT!$C$12:$C$345,1,0),"","x")</f>
        <v/>
      </c>
      <c r="AD239" s="560"/>
      <c r="AE239" s="560"/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3"/>
        <v>6</v>
      </c>
      <c r="C240" s="184">
        <f t="shared" si="24"/>
        <v>41820</v>
      </c>
      <c r="D240" s="184" t="s">
        <v>955</v>
      </c>
      <c r="E240" s="37">
        <v>41820</v>
      </c>
      <c r="F240" s="189" t="s">
        <v>421</v>
      </c>
      <c r="G240" s="467" t="s">
        <v>570</v>
      </c>
      <c r="H240" s="7" t="s">
        <v>909</v>
      </c>
      <c r="I240" s="256"/>
      <c r="J240" s="256"/>
      <c r="K240" s="568">
        <v>330140</v>
      </c>
      <c r="L240" s="569" t="s">
        <v>253</v>
      </c>
      <c r="M240" s="569" t="s">
        <v>365</v>
      </c>
      <c r="N240" s="52" t="str">
        <f>IF(AND('331-CT'!$E$7=TH!H240,OR(L240="331",M240="331")),"331",IF(AND(OR(L240="131",M240="131"),H240='131-CT'!$E$7),"131",""))</f>
        <v/>
      </c>
      <c r="O240" s="89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15"/>
      <c r="AC240" s="560" t="str">
        <f>IF(VLOOKUP(H240,DS_131,1,0)&lt;&gt;"","","x")</f>
        <v/>
      </c>
      <c r="AE240" s="560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3"/>
        <v>7</v>
      </c>
      <c r="C241" s="184">
        <f t="shared" si="24"/>
        <v>41831</v>
      </c>
      <c r="D241" s="184" t="s">
        <v>912</v>
      </c>
      <c r="E241" s="37">
        <v>41831</v>
      </c>
      <c r="F241" s="189" t="s">
        <v>516</v>
      </c>
      <c r="G241" s="467" t="s">
        <v>571</v>
      </c>
      <c r="H241" s="7" t="s">
        <v>910</v>
      </c>
      <c r="I241" s="256">
        <v>570</v>
      </c>
      <c r="J241" s="256">
        <v>8400</v>
      </c>
      <c r="K241" s="568">
        <f>ROUND(I241*J241,0)</f>
        <v>4788000</v>
      </c>
      <c r="L241" s="569" t="s">
        <v>253</v>
      </c>
      <c r="M241" s="569" t="s">
        <v>177</v>
      </c>
      <c r="N241" s="52" t="str">
        <f>IF(AND('331-CT'!$E$7=TH!H241,OR(L241="331",M241="331")),"331",IF(AND(OR(L241="131",M241="131"),H241='131-CT'!$E$7),"131",""))</f>
        <v/>
      </c>
      <c r="O241" s="89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15"/>
      <c r="AC241" s="211" t="str">
        <f>IF(F241=VLOOKUP(F241,NXT!$C$12:$C$345,1,0),"","x")</f>
        <v/>
      </c>
      <c r="AD241" s="560"/>
      <c r="AE241" s="560"/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3"/>
        <v>7</v>
      </c>
      <c r="C242" s="184">
        <f t="shared" si="24"/>
        <v>41831</v>
      </c>
      <c r="D242" s="184" t="s">
        <v>912</v>
      </c>
      <c r="E242" s="37">
        <v>41831</v>
      </c>
      <c r="F242" s="189" t="s">
        <v>516</v>
      </c>
      <c r="G242" s="467" t="s">
        <v>571</v>
      </c>
      <c r="H242" s="7" t="s">
        <v>910</v>
      </c>
      <c r="I242" s="256">
        <v>564</v>
      </c>
      <c r="J242" s="256">
        <v>12000</v>
      </c>
      <c r="K242" s="568">
        <f>ROUND(I242*J242,0)</f>
        <v>6768000</v>
      </c>
      <c r="L242" s="569" t="s">
        <v>253</v>
      </c>
      <c r="M242" s="569" t="s">
        <v>177</v>
      </c>
      <c r="N242" s="52" t="str">
        <f>IF(AND('331-CT'!$E$7=TH!H242,OR(L242="331",M242="331")),"331",IF(AND(OR(L242="131",M242="131"),H242='131-CT'!$E$7),"131",""))</f>
        <v/>
      </c>
      <c r="O242" s="89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15"/>
      <c r="AC242" s="211" t="str">
        <f>IF(F242=VLOOKUP(F242,NXT!$C$12:$C$345,1,0),"","x")</f>
        <v/>
      </c>
      <c r="AD242" s="560"/>
      <c r="AE242" s="560"/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3"/>
        <v>7</v>
      </c>
      <c r="C243" s="184">
        <f t="shared" si="24"/>
        <v>41831</v>
      </c>
      <c r="D243" s="184" t="s">
        <v>912</v>
      </c>
      <c r="E243" s="37">
        <v>41831</v>
      </c>
      <c r="F243" s="189" t="s">
        <v>421</v>
      </c>
      <c r="G243" s="467" t="s">
        <v>571</v>
      </c>
      <c r="H243" s="7" t="s">
        <v>910</v>
      </c>
      <c r="I243" s="256"/>
      <c r="J243" s="256"/>
      <c r="K243" s="38">
        <v>1155600</v>
      </c>
      <c r="L243" s="569" t="s">
        <v>253</v>
      </c>
      <c r="M243" s="569" t="s">
        <v>365</v>
      </c>
      <c r="N243" s="52" t="str">
        <f>IF(AND('331-CT'!$E$7=TH!H243,OR(L243="331",M243="331")),"331",IF(AND(OR(L243="131",M243="131"),H243='131-CT'!$E$7),"131",""))</f>
        <v/>
      </c>
      <c r="O243" s="89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15"/>
      <c r="AC243" s="560" t="str">
        <f>IF(VLOOKUP(H243,DS_131,1,0)&lt;&gt;"","","x")</f>
        <v/>
      </c>
      <c r="AE243" s="560"/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3"/>
        <v>7</v>
      </c>
      <c r="C244" s="184">
        <f t="shared" si="24"/>
        <v>41832</v>
      </c>
      <c r="D244" s="184" t="s">
        <v>913</v>
      </c>
      <c r="E244" s="37">
        <v>41832</v>
      </c>
      <c r="F244" s="189" t="s">
        <v>572</v>
      </c>
      <c r="G244" s="467" t="s">
        <v>573</v>
      </c>
      <c r="H244" s="7" t="s">
        <v>426</v>
      </c>
      <c r="I244" s="256">
        <v>393</v>
      </c>
      <c r="J244" s="256">
        <v>10500</v>
      </c>
      <c r="K244" s="568">
        <f>ROUND(I244*J244,0)</f>
        <v>4126500</v>
      </c>
      <c r="L244" s="569" t="s">
        <v>253</v>
      </c>
      <c r="M244" s="569" t="s">
        <v>177</v>
      </c>
      <c r="N244" s="52" t="str">
        <f>IF(AND('331-CT'!$E$7=TH!H244,OR(L244="331",M244="331")),"331",IF(AND(OR(L244="131",M244="131"),H244='131-CT'!$E$7),"131",""))</f>
        <v>131</v>
      </c>
      <c r="O244" s="89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15"/>
      <c r="AC244" s="211" t="str">
        <f>IF(F244=VLOOKUP(F244,NXT!$C$12:$C$345,1,0),"","x")</f>
        <v/>
      </c>
      <c r="AD244" s="560"/>
      <c r="AE244" s="560"/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3"/>
        <v>7</v>
      </c>
      <c r="C245" s="184">
        <f t="shared" si="24"/>
        <v>41832</v>
      </c>
      <c r="D245" s="184" t="s">
        <v>913</v>
      </c>
      <c r="E245" s="37">
        <v>41832</v>
      </c>
      <c r="F245" s="189" t="s">
        <v>574</v>
      </c>
      <c r="G245" s="467" t="s">
        <v>573</v>
      </c>
      <c r="H245" s="7" t="s">
        <v>426</v>
      </c>
      <c r="I245" s="256">
        <v>480</v>
      </c>
      <c r="J245" s="256">
        <v>12800</v>
      </c>
      <c r="K245" s="568">
        <f>ROUND(I245*J245,0)</f>
        <v>6144000</v>
      </c>
      <c r="L245" s="569" t="s">
        <v>253</v>
      </c>
      <c r="M245" s="569" t="s">
        <v>177</v>
      </c>
      <c r="N245" s="52" t="str">
        <f>IF(AND('331-CT'!$E$7=TH!H245,OR(L245="331",M245="331")),"331",IF(AND(OR(L245="131",M245="131"),H245='131-CT'!$E$7),"131",""))</f>
        <v>131</v>
      </c>
      <c r="O245" s="89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15"/>
      <c r="AC245" s="211" t="str">
        <f>IF(F245=VLOOKUP(F245,NXT!$C$12:$C$345,1,0),"","x")</f>
        <v/>
      </c>
      <c r="AD245" s="560"/>
      <c r="AE245" s="560"/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3"/>
        <v>7</v>
      </c>
      <c r="C246" s="184">
        <f t="shared" si="24"/>
        <v>41832</v>
      </c>
      <c r="D246" s="184" t="s">
        <v>913</v>
      </c>
      <c r="E246" s="37">
        <v>41832</v>
      </c>
      <c r="F246" s="189" t="s">
        <v>575</v>
      </c>
      <c r="G246" s="467" t="s">
        <v>573</v>
      </c>
      <c r="H246" s="7" t="s">
        <v>426</v>
      </c>
      <c r="I246" s="256">
        <v>219</v>
      </c>
      <c r="J246" s="256">
        <v>12700</v>
      </c>
      <c r="K246" s="568">
        <f>ROUND(I246*J246,0)</f>
        <v>2781300</v>
      </c>
      <c r="L246" s="569" t="s">
        <v>253</v>
      </c>
      <c r="M246" s="569" t="s">
        <v>177</v>
      </c>
      <c r="N246" s="52" t="str">
        <f>IF(AND('331-CT'!$E$7=TH!H246,OR(L246="331",M246="331")),"331",IF(AND(OR(L246="131",M246="131"),H246='131-CT'!$E$7),"131",""))</f>
        <v>131</v>
      </c>
      <c r="O246" s="89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15"/>
      <c r="AC246" s="211" t="str">
        <f>IF(F246=VLOOKUP(F246,NXT!$C$12:$C$345,1,0),"","x")</f>
        <v/>
      </c>
      <c r="AD246" s="560"/>
      <c r="AE246" s="560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3"/>
        <v>7</v>
      </c>
      <c r="C247" s="184">
        <f t="shared" si="24"/>
        <v>41832</v>
      </c>
      <c r="D247" s="184" t="s">
        <v>913</v>
      </c>
      <c r="E247" s="37">
        <v>41832</v>
      </c>
      <c r="F247" s="189" t="s">
        <v>421</v>
      </c>
      <c r="G247" s="467" t="s">
        <v>573</v>
      </c>
      <c r="H247" s="7" t="s">
        <v>426</v>
      </c>
      <c r="I247" s="256"/>
      <c r="J247" s="256"/>
      <c r="K247" s="568">
        <v>1305180</v>
      </c>
      <c r="L247" s="569" t="s">
        <v>253</v>
      </c>
      <c r="M247" s="569" t="s">
        <v>365</v>
      </c>
      <c r="N247" s="52" t="str">
        <f>IF(AND('331-CT'!$E$7=TH!H247,OR(L247="331",M247="331")),"331",IF(AND(OR(L247="131",M247="131"),H247='131-CT'!$E$7),"131",""))</f>
        <v>131</v>
      </c>
      <c r="O247" s="89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15"/>
      <c r="AC247" s="560" t="str">
        <f>IF(VLOOKUP(H247,DS_131,1,0)&lt;&gt;"","","x")</f>
        <v/>
      </c>
      <c r="AD247" s="560"/>
      <c r="AE247" s="560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3"/>
        <v>7</v>
      </c>
      <c r="C248" s="184">
        <f t="shared" si="24"/>
        <v>41834</v>
      </c>
      <c r="D248" s="184" t="s">
        <v>914</v>
      </c>
      <c r="E248" s="37">
        <v>41834</v>
      </c>
      <c r="F248" s="189" t="s">
        <v>576</v>
      </c>
      <c r="G248" s="467" t="s">
        <v>577</v>
      </c>
      <c r="H248" s="7" t="s">
        <v>426</v>
      </c>
      <c r="I248" s="257">
        <v>300</v>
      </c>
      <c r="J248" s="257">
        <v>11619</v>
      </c>
      <c r="K248" s="568">
        <f>ROUND(I248*J248,0)</f>
        <v>3485700</v>
      </c>
      <c r="L248" s="569" t="s">
        <v>253</v>
      </c>
      <c r="M248" s="569" t="s">
        <v>177</v>
      </c>
      <c r="N248" s="52" t="str">
        <f>IF(AND('331-CT'!$E$7=TH!H248,OR(L248="331",M248="331")),"331",IF(AND(OR(L248="131",M248="131"),H248='131-CT'!$E$7),"131",""))</f>
        <v>131</v>
      </c>
      <c r="O248" s="89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15"/>
      <c r="AC248" s="211" t="str">
        <f>IF(F248=VLOOKUP(F248,NXT!$C$12:$C$345,1,0),"","x")</f>
        <v/>
      </c>
      <c r="AE248" s="560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3"/>
        <v>7</v>
      </c>
      <c r="C249" s="184">
        <f t="shared" si="24"/>
        <v>41834</v>
      </c>
      <c r="D249" s="184" t="s">
        <v>914</v>
      </c>
      <c r="E249" s="37">
        <v>41834</v>
      </c>
      <c r="F249" s="189" t="s">
        <v>578</v>
      </c>
      <c r="G249" s="467" t="s">
        <v>577</v>
      </c>
      <c r="H249" s="7" t="s">
        <v>426</v>
      </c>
      <c r="I249" s="257">
        <v>720</v>
      </c>
      <c r="J249" s="257">
        <v>12050</v>
      </c>
      <c r="K249" s="568">
        <f>ROUND(I249*J249,0)</f>
        <v>8676000</v>
      </c>
      <c r="L249" s="569" t="s">
        <v>253</v>
      </c>
      <c r="M249" s="569" t="s">
        <v>177</v>
      </c>
      <c r="N249" s="52" t="str">
        <f>IF(AND('331-CT'!$E$7=TH!H249,OR(L249="331",M249="331")),"331",IF(AND(OR(L249="131",M249="131"),H249='131-CT'!$E$7),"131",""))</f>
        <v>131</v>
      </c>
      <c r="O249" s="89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15"/>
      <c r="AC249" s="211" t="str">
        <f>IF(F249=VLOOKUP(F249,NXT!$C$12:$C$345,1,0),"","x")</f>
        <v/>
      </c>
      <c r="AD249" s="560"/>
      <c r="AE249" s="560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ref="B250:B309" si="25">IF(C250&lt;&gt;"",MONTH(C250),"")</f>
        <v>7</v>
      </c>
      <c r="C250" s="184">
        <f t="shared" ref="C250:C309" si="26">E250</f>
        <v>41834</v>
      </c>
      <c r="D250" s="184" t="s">
        <v>914</v>
      </c>
      <c r="E250" s="37">
        <v>41834</v>
      </c>
      <c r="F250" s="189" t="s">
        <v>421</v>
      </c>
      <c r="G250" s="467" t="s">
        <v>577</v>
      </c>
      <c r="H250" s="7" t="s">
        <v>426</v>
      </c>
      <c r="I250" s="256"/>
      <c r="J250" s="256"/>
      <c r="K250" s="568">
        <v>1216170</v>
      </c>
      <c r="L250" s="569" t="s">
        <v>253</v>
      </c>
      <c r="M250" s="569" t="s">
        <v>365</v>
      </c>
      <c r="N250" s="52" t="str">
        <f>IF(AND('331-CT'!$E$7=TH!H250,OR(L250="331",M250="331")),"331",IF(AND(OR(L250="131",M250="131"),H250='131-CT'!$E$7),"131",""))</f>
        <v>131</v>
      </c>
      <c r="O250" s="89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15"/>
      <c r="AC250" s="560" t="str">
        <f>IF(VLOOKUP(H250,DS_131,1,0)&lt;&gt;"","","x")</f>
        <v/>
      </c>
      <c r="AE250" s="560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5"/>
        <v>7</v>
      </c>
      <c r="C251" s="184">
        <f t="shared" si="26"/>
        <v>41834</v>
      </c>
      <c r="D251" s="184" t="s">
        <v>915</v>
      </c>
      <c r="E251" s="37">
        <v>41834</v>
      </c>
      <c r="F251" s="189" t="s">
        <v>437</v>
      </c>
      <c r="G251" s="467" t="s">
        <v>579</v>
      </c>
      <c r="H251" s="7" t="s">
        <v>439</v>
      </c>
      <c r="I251" s="256">
        <v>522</v>
      </c>
      <c r="J251" s="256">
        <v>10500</v>
      </c>
      <c r="K251" s="568">
        <f>ROUND(I251*J251,0)</f>
        <v>5481000</v>
      </c>
      <c r="L251" s="569" t="s">
        <v>253</v>
      </c>
      <c r="M251" s="569" t="s">
        <v>177</v>
      </c>
      <c r="N251" s="52" t="str">
        <f>IF(AND('331-CT'!$E$7=TH!H251,OR(L251="331",M251="331")),"331",IF(AND(OR(L251="131",M251="131"),H251='131-CT'!$E$7),"131",""))</f>
        <v/>
      </c>
      <c r="O251" s="89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15"/>
      <c r="AC251" s="211" t="str">
        <f>IF(F251=VLOOKUP(F251,NXT!$C$12:$C$345,1,0),"","x")</f>
        <v/>
      </c>
      <c r="AD251" s="560"/>
      <c r="AE251" s="560"/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5"/>
        <v>7</v>
      </c>
      <c r="C252" s="184">
        <f t="shared" si="26"/>
        <v>41834</v>
      </c>
      <c r="D252" s="184" t="s">
        <v>915</v>
      </c>
      <c r="E252" s="191">
        <v>41834</v>
      </c>
      <c r="F252" s="296" t="s">
        <v>575</v>
      </c>
      <c r="G252" s="468" t="s">
        <v>579</v>
      </c>
      <c r="H252" s="7" t="s">
        <v>439</v>
      </c>
      <c r="I252" s="256">
        <v>525</v>
      </c>
      <c r="J252" s="256">
        <v>9500</v>
      </c>
      <c r="K252" s="568">
        <f>ROUND(I252*J252,0)</f>
        <v>4987500</v>
      </c>
      <c r="L252" s="569" t="s">
        <v>253</v>
      </c>
      <c r="M252" s="569" t="s">
        <v>177</v>
      </c>
      <c r="N252" s="52" t="str">
        <f>IF(AND('331-CT'!$E$7=TH!H252,OR(L252="331",M252="331")),"331",IF(AND(OR(L252="131",M252="131"),H252='131-CT'!$E$7),"131",""))</f>
        <v/>
      </c>
      <c r="O252" s="89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15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5"/>
        <v>7</v>
      </c>
      <c r="C253" s="184">
        <f t="shared" si="26"/>
        <v>41834</v>
      </c>
      <c r="D253" s="184" t="s">
        <v>915</v>
      </c>
      <c r="E253" s="191">
        <v>41834</v>
      </c>
      <c r="F253" s="189" t="s">
        <v>421</v>
      </c>
      <c r="G253" s="468" t="s">
        <v>579</v>
      </c>
      <c r="H253" s="7" t="s">
        <v>439</v>
      </c>
      <c r="I253" s="256"/>
      <c r="J253" s="256"/>
      <c r="K253" s="568">
        <v>1046850</v>
      </c>
      <c r="L253" s="569" t="s">
        <v>253</v>
      </c>
      <c r="M253" s="569" t="s">
        <v>365</v>
      </c>
      <c r="N253" s="52" t="str">
        <f>IF(AND('331-CT'!$E$7=TH!H253,OR(L253="331",M253="331")),"331",IF(AND(OR(L253="131",M253="131"),H253='131-CT'!$E$7),"131",""))</f>
        <v/>
      </c>
      <c r="O253" s="89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15"/>
      <c r="AC253" s="560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25"/>
        <v>7</v>
      </c>
      <c r="C254" s="184">
        <f t="shared" si="26"/>
        <v>41834</v>
      </c>
      <c r="D254" s="184" t="s">
        <v>917</v>
      </c>
      <c r="E254" s="191">
        <v>41834</v>
      </c>
      <c r="F254" s="296" t="s">
        <v>509</v>
      </c>
      <c r="G254" s="468" t="s">
        <v>580</v>
      </c>
      <c r="H254" s="7" t="s">
        <v>909</v>
      </c>
      <c r="I254" s="256">
        <v>214</v>
      </c>
      <c r="J254" s="256">
        <v>9400</v>
      </c>
      <c r="K254" s="568">
        <f>ROUND(I254*J254,0)</f>
        <v>2011600</v>
      </c>
      <c r="L254" s="569" t="s">
        <v>253</v>
      </c>
      <c r="M254" s="569" t="s">
        <v>177</v>
      </c>
      <c r="N254" s="52" t="str">
        <f>IF(AND('331-CT'!$E$7=TH!H254,OR(L254="331",M254="331")),"331",IF(AND(OR(L254="131",M254="131"),H254='131-CT'!$E$7),"131",""))</f>
        <v/>
      </c>
      <c r="O254" s="89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15"/>
      <c r="AC254" s="211" t="str">
        <f>IF(F254=VLOOKUP(F254,NXT!$C$12:$C$345,1,0),"","x")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25"/>
        <v>7</v>
      </c>
      <c r="C255" s="184">
        <f t="shared" si="26"/>
        <v>41834</v>
      </c>
      <c r="D255" s="184" t="s">
        <v>917</v>
      </c>
      <c r="E255" s="191">
        <v>41834</v>
      </c>
      <c r="F255" s="189" t="s">
        <v>487</v>
      </c>
      <c r="G255" s="468" t="s">
        <v>580</v>
      </c>
      <c r="H255" s="7" t="s">
        <v>909</v>
      </c>
      <c r="I255" s="257">
        <v>133</v>
      </c>
      <c r="J255" s="256">
        <v>9300</v>
      </c>
      <c r="K255" s="568">
        <f>ROUND(I255*J255,0)</f>
        <v>1236900</v>
      </c>
      <c r="L255" s="569" t="s">
        <v>253</v>
      </c>
      <c r="M255" s="569" t="s">
        <v>177</v>
      </c>
      <c r="N255" s="52" t="str">
        <f>IF(AND('331-CT'!$E$7=TH!H255,OR(L255="331",M255="331")),"331",IF(AND(OR(L255="131",M255="131"),H255='131-CT'!$E$7),"131",""))</f>
        <v/>
      </c>
      <c r="O255" s="89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15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25"/>
        <v>7</v>
      </c>
      <c r="C256" s="184">
        <f t="shared" si="26"/>
        <v>41834</v>
      </c>
      <c r="D256" s="184" t="s">
        <v>917</v>
      </c>
      <c r="E256" s="191">
        <v>41834</v>
      </c>
      <c r="F256" s="189" t="s">
        <v>421</v>
      </c>
      <c r="G256" s="468" t="s">
        <v>580</v>
      </c>
      <c r="H256" s="7" t="s">
        <v>909</v>
      </c>
      <c r="I256" s="256"/>
      <c r="J256" s="256"/>
      <c r="K256" s="568">
        <v>324850</v>
      </c>
      <c r="L256" s="569" t="s">
        <v>253</v>
      </c>
      <c r="M256" s="569" t="s">
        <v>365</v>
      </c>
      <c r="N256" s="52" t="str">
        <f>IF(AND('331-CT'!$E$7=TH!H256,OR(L256="331",M256="331")),"331",IF(AND(OR(L256="131",M256="131"),H256='131-CT'!$E$7),"131",""))</f>
        <v/>
      </c>
      <c r="O256" s="89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15"/>
      <c r="AC256" s="560" t="str">
        <f>IF(VLOOKUP(H256,DS_131,1,0)&lt;&gt;"","","x")</f>
        <v/>
      </c>
    </row>
    <row r="257" spans="1:31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25"/>
        <v>7</v>
      </c>
      <c r="C257" s="184">
        <f t="shared" si="26"/>
        <v>41837</v>
      </c>
      <c r="D257" s="184" t="s">
        <v>918</v>
      </c>
      <c r="E257" s="184">
        <v>41837</v>
      </c>
      <c r="F257" s="189" t="s">
        <v>581</v>
      </c>
      <c r="G257" s="570" t="s">
        <v>582</v>
      </c>
      <c r="H257" s="44" t="s">
        <v>583</v>
      </c>
      <c r="I257" s="256">
        <v>115</v>
      </c>
      <c r="J257" s="256">
        <v>10140</v>
      </c>
      <c r="K257" s="568">
        <f>ROUND(I257*J257,0)</f>
        <v>1166100</v>
      </c>
      <c r="L257" s="569" t="s">
        <v>253</v>
      </c>
      <c r="M257" s="569" t="s">
        <v>177</v>
      </c>
      <c r="N257" s="52" t="str">
        <f>IF(AND('331-CT'!$E$7=TH!H257,OR(L257="331",M257="331")),"331",IF(AND(OR(L257="131",M257="131"),H257='131-CT'!$E$7),"131",""))</f>
        <v/>
      </c>
      <c r="O257" s="89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15"/>
      <c r="AC257" s="211" t="str">
        <f>IF(F257=VLOOKUP(F257,NXT!$C$12:$C$345,1,0),"","x")</f>
        <v/>
      </c>
      <c r="AD257" s="560"/>
      <c r="AE257" s="560"/>
    </row>
    <row r="258" spans="1:31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25"/>
        <v>7</v>
      </c>
      <c r="C258" s="184">
        <f t="shared" si="26"/>
        <v>41837</v>
      </c>
      <c r="D258" s="184" t="s">
        <v>918</v>
      </c>
      <c r="E258" s="37">
        <v>41837</v>
      </c>
      <c r="F258" s="40" t="s">
        <v>584</v>
      </c>
      <c r="G258" s="465" t="s">
        <v>582</v>
      </c>
      <c r="H258" s="45" t="s">
        <v>583</v>
      </c>
      <c r="I258" s="256">
        <v>15</v>
      </c>
      <c r="J258" s="256">
        <v>13490</v>
      </c>
      <c r="K258" s="568">
        <f>ROUND(I258*J258,0)</f>
        <v>202350</v>
      </c>
      <c r="L258" s="569" t="s">
        <v>253</v>
      </c>
      <c r="M258" s="569" t="s">
        <v>177</v>
      </c>
      <c r="N258" s="52" t="str">
        <f>IF(AND('331-CT'!$E$7=TH!H258,OR(L258="331",M258="331")),"331",IF(AND(OR(L258="131",M258="131"),H258='131-CT'!$E$7),"131",""))</f>
        <v/>
      </c>
      <c r="O258" s="89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15"/>
      <c r="AC258" s="211" t="str">
        <f>IF(F258=VLOOKUP(F258,NXT!$C$12:$C$345,1,0),"","x")</f>
        <v/>
      </c>
    </row>
    <row r="259" spans="1:31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25"/>
        <v>7</v>
      </c>
      <c r="C259" s="184">
        <f t="shared" si="26"/>
        <v>41837</v>
      </c>
      <c r="D259" s="184" t="s">
        <v>918</v>
      </c>
      <c r="E259" s="37">
        <v>41837</v>
      </c>
      <c r="F259" s="40" t="s">
        <v>585</v>
      </c>
      <c r="G259" s="465" t="s">
        <v>582</v>
      </c>
      <c r="H259" s="45" t="s">
        <v>583</v>
      </c>
      <c r="I259" s="257">
        <v>40</v>
      </c>
      <c r="J259" s="256">
        <v>9000</v>
      </c>
      <c r="K259" s="568">
        <f>ROUND(I259*J259,0)</f>
        <v>360000</v>
      </c>
      <c r="L259" s="569" t="s">
        <v>253</v>
      </c>
      <c r="M259" s="569" t="s">
        <v>177</v>
      </c>
      <c r="N259" s="52" t="str">
        <f>IF(AND('331-CT'!$E$7=TH!H259,OR(L259="331",M259="331")),"331",IF(AND(OR(L259="131",M259="131"),H259='131-CT'!$E$7),"131",""))</f>
        <v/>
      </c>
      <c r="O259" s="89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15"/>
      <c r="AC259" s="211" t="str">
        <f>IF(F259=VLOOKUP(F259,NXT!$C$12:$C$345,1,0),"","x")</f>
        <v/>
      </c>
      <c r="AD259" s="560"/>
      <c r="AE259" s="560"/>
    </row>
    <row r="260" spans="1:31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25"/>
        <v>7</v>
      </c>
      <c r="C260" s="184">
        <f t="shared" si="26"/>
        <v>41837</v>
      </c>
      <c r="D260" s="184" t="s">
        <v>918</v>
      </c>
      <c r="E260" s="37">
        <v>41837</v>
      </c>
      <c r="F260" s="40" t="s">
        <v>586</v>
      </c>
      <c r="G260" s="465" t="s">
        <v>582</v>
      </c>
      <c r="H260" s="45" t="s">
        <v>583</v>
      </c>
      <c r="I260" s="257">
        <v>720</v>
      </c>
      <c r="J260" s="256">
        <v>10940</v>
      </c>
      <c r="K260" s="568">
        <f>ROUND(I260*J260,0)</f>
        <v>7876800</v>
      </c>
      <c r="L260" s="569" t="s">
        <v>253</v>
      </c>
      <c r="M260" s="569" t="s">
        <v>177</v>
      </c>
      <c r="N260" s="52" t="str">
        <f>IF(AND('331-CT'!$E$7=TH!H260,OR(L260="331",M260="331")),"331",IF(AND(OR(L260="131",M260="131"),H260='131-CT'!$E$7),"131",""))</f>
        <v/>
      </c>
      <c r="O260" s="89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15"/>
      <c r="AC260" s="211" t="str">
        <f>IF(F260=VLOOKUP(F260,NXT!$C$12:$C$345,1,0),"","x")</f>
        <v/>
      </c>
      <c r="AD260" s="560"/>
      <c r="AE260" s="560"/>
    </row>
    <row r="261" spans="1:31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25"/>
        <v>7</v>
      </c>
      <c r="C261" s="184">
        <f t="shared" si="26"/>
        <v>41837</v>
      </c>
      <c r="D261" s="184" t="s">
        <v>918</v>
      </c>
      <c r="E261" s="37">
        <v>41837</v>
      </c>
      <c r="F261" s="40" t="s">
        <v>587</v>
      </c>
      <c r="G261" s="465" t="s">
        <v>582</v>
      </c>
      <c r="H261" s="45" t="s">
        <v>583</v>
      </c>
      <c r="I261" s="257">
        <v>370</v>
      </c>
      <c r="J261" s="256">
        <v>10040</v>
      </c>
      <c r="K261" s="568">
        <f>ROUND(I261*J261,0)</f>
        <v>3714800</v>
      </c>
      <c r="L261" s="569" t="s">
        <v>253</v>
      </c>
      <c r="M261" s="569" t="s">
        <v>177</v>
      </c>
      <c r="N261" s="52" t="str">
        <f>IF(AND('331-CT'!$E$7=TH!H261,OR(L261="331",M261="331")),"331",IF(AND(OR(L261="131",M261="131"),H261='131-CT'!$E$7),"131",""))</f>
        <v/>
      </c>
      <c r="O261" s="89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15"/>
      <c r="AC261" s="211" t="str">
        <f>IF(F261=VLOOKUP(F261,NXT!$C$12:$C$345,1,0),"","x")</f>
        <v/>
      </c>
      <c r="AD261" s="560"/>
      <c r="AE261" s="560"/>
    </row>
    <row r="262" spans="1:31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25"/>
        <v>7</v>
      </c>
      <c r="C262" s="184">
        <f t="shared" si="26"/>
        <v>41837</v>
      </c>
      <c r="D262" s="184" t="s">
        <v>918</v>
      </c>
      <c r="E262" s="37">
        <v>41837</v>
      </c>
      <c r="F262" s="40" t="s">
        <v>421</v>
      </c>
      <c r="G262" s="465" t="s">
        <v>582</v>
      </c>
      <c r="H262" s="45" t="s">
        <v>583</v>
      </c>
      <c r="I262" s="257"/>
      <c r="J262" s="256"/>
      <c r="K262" s="38">
        <v>1332005</v>
      </c>
      <c r="L262" s="569" t="s">
        <v>253</v>
      </c>
      <c r="M262" s="569" t="s">
        <v>365</v>
      </c>
      <c r="N262" s="52" t="str">
        <f>IF(AND('331-CT'!$E$7=TH!H262,OR(L262="331",M262="331")),"331",IF(AND(OR(L262="131",M262="131"),H262='131-CT'!$E$7),"131",""))</f>
        <v/>
      </c>
      <c r="O262" s="89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15"/>
      <c r="AC262" s="560" t="str">
        <f>IF(VLOOKUP(H262,DS_131,1,0)&lt;&gt;"","","x")</f>
        <v/>
      </c>
      <c r="AD262" s="560"/>
      <c r="AE262" s="560"/>
    </row>
    <row r="263" spans="1:31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25"/>
        <v>7</v>
      </c>
      <c r="C263" s="184">
        <f t="shared" si="26"/>
        <v>41837</v>
      </c>
      <c r="D263" s="184" t="s">
        <v>919</v>
      </c>
      <c r="E263" s="37">
        <v>41837</v>
      </c>
      <c r="F263" s="40" t="s">
        <v>495</v>
      </c>
      <c r="G263" s="467" t="s">
        <v>588</v>
      </c>
      <c r="H263" s="7" t="s">
        <v>909</v>
      </c>
      <c r="I263" s="256">
        <v>500</v>
      </c>
      <c r="J263" s="256">
        <v>8600</v>
      </c>
      <c r="K263" s="568">
        <f>ROUND(I263*J263,0)</f>
        <v>4300000</v>
      </c>
      <c r="L263" s="569" t="s">
        <v>253</v>
      </c>
      <c r="M263" s="569" t="s">
        <v>177</v>
      </c>
      <c r="N263" s="52" t="str">
        <f>IF(AND('331-CT'!$E$7=TH!H263,OR(L263="331",M263="331")),"331",IF(AND(OR(L263="131",M263="131"),H263='131-CT'!$E$7),"131",""))</f>
        <v/>
      </c>
      <c r="O263" s="89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15"/>
      <c r="AC263" s="211" t="str">
        <f>IF(F263=VLOOKUP(F263,NXT!$C$12:$C$345,1,0),"","x")</f>
        <v/>
      </c>
      <c r="AE263" s="560"/>
    </row>
    <row r="264" spans="1:31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25"/>
        <v>7</v>
      </c>
      <c r="C264" s="184">
        <f t="shared" si="26"/>
        <v>41837</v>
      </c>
      <c r="D264" s="184" t="s">
        <v>919</v>
      </c>
      <c r="E264" s="37">
        <v>41837</v>
      </c>
      <c r="F264" s="783" t="s">
        <v>513</v>
      </c>
      <c r="G264" s="467" t="s">
        <v>588</v>
      </c>
      <c r="H264" s="7" t="s">
        <v>909</v>
      </c>
      <c r="I264" s="256">
        <v>410</v>
      </c>
      <c r="J264" s="256">
        <v>7000</v>
      </c>
      <c r="K264" s="568">
        <f>ROUND(I264*J264,0)</f>
        <v>2870000</v>
      </c>
      <c r="L264" s="569" t="s">
        <v>253</v>
      </c>
      <c r="M264" s="569" t="s">
        <v>177</v>
      </c>
      <c r="N264" s="52" t="str">
        <f>IF(AND('331-CT'!$E$7=TH!H264,OR(L264="331",M264="331")),"331",IF(AND(OR(L264="131",M264="131"),H264='131-CT'!$E$7),"131",""))</f>
        <v/>
      </c>
      <c r="O264" s="89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15"/>
      <c r="AC264" s="211" t="str">
        <f>IF(F264=VLOOKUP(F264,NXT!$C$12:$C$345,1,0),"","x")</f>
        <v/>
      </c>
      <c r="AD264" s="560"/>
      <c r="AE264" s="560"/>
    </row>
    <row r="265" spans="1:31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25"/>
        <v>7</v>
      </c>
      <c r="C265" s="184">
        <f t="shared" si="26"/>
        <v>41837</v>
      </c>
      <c r="D265" s="184" t="s">
        <v>919</v>
      </c>
      <c r="E265" s="184">
        <v>41837</v>
      </c>
      <c r="F265" s="189" t="s">
        <v>484</v>
      </c>
      <c r="G265" s="570" t="s">
        <v>588</v>
      </c>
      <c r="H265" s="7" t="s">
        <v>909</v>
      </c>
      <c r="I265" s="256">
        <v>280</v>
      </c>
      <c r="J265" s="256">
        <v>12900</v>
      </c>
      <c r="K265" s="568">
        <f>ROUND(I265*J265,0)</f>
        <v>3612000</v>
      </c>
      <c r="L265" s="569" t="s">
        <v>253</v>
      </c>
      <c r="M265" s="569" t="s">
        <v>177</v>
      </c>
      <c r="N265" s="52" t="str">
        <f>IF(AND('331-CT'!$E$7=TH!H265,OR(L265="331",M265="331")),"331",IF(AND(OR(L265="131",M265="131"),H265='131-CT'!$E$7),"131",""))</f>
        <v/>
      </c>
      <c r="O265" s="89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15"/>
      <c r="AC265" s="211" t="str">
        <f>IF(F265=VLOOKUP(F265,NXT!$C$12:$C$345,1,0),"","x")</f>
        <v/>
      </c>
      <c r="AD265" s="560"/>
      <c r="AE265" s="560"/>
    </row>
    <row r="266" spans="1:31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25"/>
        <v>7</v>
      </c>
      <c r="C266" s="184">
        <f t="shared" si="26"/>
        <v>41837</v>
      </c>
      <c r="D266" s="184" t="s">
        <v>919</v>
      </c>
      <c r="E266" s="184">
        <v>41837</v>
      </c>
      <c r="F266" s="189" t="s">
        <v>421</v>
      </c>
      <c r="G266" s="570" t="s">
        <v>588</v>
      </c>
      <c r="H266" s="7" t="s">
        <v>909</v>
      </c>
      <c r="I266" s="256"/>
      <c r="J266" s="256"/>
      <c r="K266" s="568">
        <v>1078200</v>
      </c>
      <c r="L266" s="569" t="s">
        <v>253</v>
      </c>
      <c r="M266" s="569" t="s">
        <v>365</v>
      </c>
      <c r="N266" s="52" t="str">
        <f>IF(AND('331-CT'!$E$7=TH!H266,OR(L266="331",M266="331")),"331",IF(AND(OR(L266="131",M266="131"),H266='131-CT'!$E$7),"131",""))</f>
        <v/>
      </c>
      <c r="O266" s="89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15"/>
      <c r="AC266" s="560" t="str">
        <f>IF(VLOOKUP(H266,DS_131,1,0)&lt;&gt;"","","x")</f>
        <v/>
      </c>
      <c r="AD266" s="560"/>
      <c r="AE266" s="560"/>
    </row>
    <row r="267" spans="1:31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25"/>
        <v>7</v>
      </c>
      <c r="C267" s="184">
        <f t="shared" si="26"/>
        <v>41842</v>
      </c>
      <c r="D267" s="184" t="s">
        <v>920</v>
      </c>
      <c r="E267" s="184">
        <v>41842</v>
      </c>
      <c r="F267" s="189" t="s">
        <v>422</v>
      </c>
      <c r="G267" s="570" t="s">
        <v>589</v>
      </c>
      <c r="H267" s="7" t="s">
        <v>908</v>
      </c>
      <c r="I267" s="256">
        <v>513</v>
      </c>
      <c r="J267" s="256">
        <v>17300</v>
      </c>
      <c r="K267" s="568">
        <f>ROUND(I267*J267,0)</f>
        <v>8874900</v>
      </c>
      <c r="L267" s="569" t="s">
        <v>253</v>
      </c>
      <c r="M267" s="569" t="s">
        <v>177</v>
      </c>
      <c r="N267" s="52" t="str">
        <f>IF(AND('331-CT'!$E$7=TH!H267,OR(L267="331",M267="331")),"331",IF(AND(OR(L267="131",M267="131"),H267='131-CT'!$E$7),"131",""))</f>
        <v/>
      </c>
      <c r="O267" s="89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15"/>
      <c r="AC267" s="211" t="str">
        <f>IF(F267=VLOOKUP(F267,NXT!$C$12:$C$345,1,0),"","x")</f>
        <v/>
      </c>
      <c r="AD267" s="560"/>
      <c r="AE267" s="560"/>
    </row>
    <row r="268" spans="1:31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25"/>
        <v>7</v>
      </c>
      <c r="C268" s="184">
        <f t="shared" si="26"/>
        <v>41842</v>
      </c>
      <c r="D268" s="184" t="s">
        <v>920</v>
      </c>
      <c r="E268" s="191">
        <v>41842</v>
      </c>
      <c r="F268" s="40" t="s">
        <v>446</v>
      </c>
      <c r="G268" s="468" t="s">
        <v>589</v>
      </c>
      <c r="H268" s="7" t="s">
        <v>908</v>
      </c>
      <c r="I268" s="257">
        <v>1026</v>
      </c>
      <c r="J268" s="257">
        <v>1500</v>
      </c>
      <c r="K268" s="568">
        <f>ROUND(I268*J268,0)</f>
        <v>1539000</v>
      </c>
      <c r="L268" s="569" t="s">
        <v>253</v>
      </c>
      <c r="M268" s="569" t="s">
        <v>177</v>
      </c>
      <c r="N268" s="52" t="str">
        <f>IF(AND('331-CT'!$E$7=TH!H268,OR(L268="331",M268="331")),"331",IF(AND(OR(L268="131",M268="131"),H268='131-CT'!$E$7),"131",""))</f>
        <v/>
      </c>
      <c r="O268" s="89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15"/>
      <c r="AC268" s="211" t="str">
        <f>IF(F268=VLOOKUP(F268,NXT!$C$12:$C$345,1,0),"","x")</f>
        <v/>
      </c>
    </row>
    <row r="269" spans="1:31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25"/>
        <v>7</v>
      </c>
      <c r="C269" s="184">
        <f t="shared" si="26"/>
        <v>41842</v>
      </c>
      <c r="D269" s="184" t="s">
        <v>920</v>
      </c>
      <c r="E269" s="191">
        <v>41842</v>
      </c>
      <c r="F269" s="192" t="s">
        <v>421</v>
      </c>
      <c r="G269" s="468" t="s">
        <v>589</v>
      </c>
      <c r="H269" s="7" t="s">
        <v>908</v>
      </c>
      <c r="I269" s="256"/>
      <c r="J269" s="256"/>
      <c r="K269" s="568">
        <v>1041390</v>
      </c>
      <c r="L269" s="569" t="s">
        <v>253</v>
      </c>
      <c r="M269" s="569" t="s">
        <v>365</v>
      </c>
      <c r="N269" s="52" t="str">
        <f>IF(AND('331-CT'!$E$7=TH!H269,OR(L269="331",M269="331")),"331",IF(AND(OR(L269="131",M269="131"),H269='131-CT'!$E$7),"131",""))</f>
        <v/>
      </c>
      <c r="O269" s="89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15"/>
      <c r="AC269" s="560" t="str">
        <f>IF(VLOOKUP(H269,DS_131,1,0)&lt;&gt;"","","x")</f>
        <v/>
      </c>
    </row>
    <row r="270" spans="1:31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25"/>
        <v>7</v>
      </c>
      <c r="C270" s="184">
        <f t="shared" si="26"/>
        <v>41842</v>
      </c>
      <c r="D270" s="184" t="s">
        <v>921</v>
      </c>
      <c r="E270" s="191">
        <v>41842</v>
      </c>
      <c r="F270" s="189" t="s">
        <v>481</v>
      </c>
      <c r="G270" s="468" t="s">
        <v>590</v>
      </c>
      <c r="H270" s="7" t="s">
        <v>478</v>
      </c>
      <c r="I270" s="256">
        <v>1600</v>
      </c>
      <c r="J270" s="256">
        <v>11000</v>
      </c>
      <c r="K270" s="568">
        <f>ROUND(I270*J270,0)</f>
        <v>17600000</v>
      </c>
      <c r="L270" s="569" t="s">
        <v>253</v>
      </c>
      <c r="M270" s="569" t="s">
        <v>177</v>
      </c>
      <c r="N270" s="52" t="str">
        <f>IF(AND('331-CT'!$E$7=TH!H270,OR(L270="331",M270="331")),"331",IF(AND(OR(L270="131",M270="131"),H270='131-CT'!$E$7),"131",""))</f>
        <v/>
      </c>
      <c r="O270" s="89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15"/>
      <c r="AC270" s="211" t="str">
        <f>IF(F270=VLOOKUP(F270,NXT!$C$12:$C$345,1,0),"","x")</f>
        <v/>
      </c>
    </row>
    <row r="271" spans="1:31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25"/>
        <v>7</v>
      </c>
      <c r="C271" s="184">
        <f t="shared" si="26"/>
        <v>41842</v>
      </c>
      <c r="D271" s="184" t="s">
        <v>921</v>
      </c>
      <c r="E271" s="191">
        <v>41842</v>
      </c>
      <c r="F271" s="763" t="s">
        <v>421</v>
      </c>
      <c r="G271" s="468" t="s">
        <v>590</v>
      </c>
      <c r="H271" s="7" t="s">
        <v>478</v>
      </c>
      <c r="I271" s="256"/>
      <c r="J271" s="256"/>
      <c r="K271" s="568">
        <v>1760000</v>
      </c>
      <c r="L271" s="569" t="s">
        <v>253</v>
      </c>
      <c r="M271" s="569" t="s">
        <v>365</v>
      </c>
      <c r="N271" s="52" t="str">
        <f>IF(AND('331-CT'!$E$7=TH!H271,OR(L271="331",M271="331")),"331",IF(AND(OR(L271="131",M271="131"),H271='131-CT'!$E$7),"131",""))</f>
        <v/>
      </c>
      <c r="O271" s="89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15"/>
      <c r="AC271" s="560" t="str">
        <f>IF(VLOOKUP(H271,DS_131,1,0)&lt;&gt;"","","x")</f>
        <v/>
      </c>
    </row>
    <row r="272" spans="1:31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25"/>
        <v>7</v>
      </c>
      <c r="C272" s="184">
        <f t="shared" si="26"/>
        <v>41843</v>
      </c>
      <c r="D272" s="184" t="s">
        <v>922</v>
      </c>
      <c r="E272" s="191">
        <v>41843</v>
      </c>
      <c r="F272" s="192" t="s">
        <v>501</v>
      </c>
      <c r="G272" s="468" t="s">
        <v>591</v>
      </c>
      <c r="H272" s="7" t="s">
        <v>503</v>
      </c>
      <c r="I272" s="256">
        <v>563</v>
      </c>
      <c r="J272" s="256">
        <v>5900</v>
      </c>
      <c r="K272" s="568">
        <f>ROUND(I272*J272,0)</f>
        <v>3321700</v>
      </c>
      <c r="L272" s="569" t="s">
        <v>253</v>
      </c>
      <c r="M272" s="569" t="s">
        <v>177</v>
      </c>
      <c r="N272" s="52" t="str">
        <f>IF(AND('331-CT'!$E$7=TH!H272,OR(L272="331",M272="331")),"331",IF(AND(OR(L272="131",M272="131"),H272='131-CT'!$E$7),"131",""))</f>
        <v/>
      </c>
      <c r="O272" s="89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15"/>
      <c r="AC272" s="211" t="str">
        <f>IF(F272=VLOOKUP(F272,NXT!$C$12:$C$345,1,0),"","x")</f>
        <v/>
      </c>
    </row>
    <row r="273" spans="1:29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25"/>
        <v>7</v>
      </c>
      <c r="C273" s="184">
        <f t="shared" si="26"/>
        <v>41843</v>
      </c>
      <c r="D273" s="184" t="s">
        <v>922</v>
      </c>
      <c r="E273" s="191">
        <v>41843</v>
      </c>
      <c r="F273" s="192" t="s">
        <v>504</v>
      </c>
      <c r="G273" s="468" t="s">
        <v>591</v>
      </c>
      <c r="H273" s="7" t="s">
        <v>503</v>
      </c>
      <c r="I273" s="256">
        <v>212</v>
      </c>
      <c r="J273" s="256">
        <v>6250</v>
      </c>
      <c r="K273" s="568">
        <f>ROUND(I273*J273,0)</f>
        <v>1325000</v>
      </c>
      <c r="L273" s="569" t="s">
        <v>253</v>
      </c>
      <c r="M273" s="569" t="s">
        <v>177</v>
      </c>
      <c r="N273" s="52" t="str">
        <f>IF(AND('331-CT'!$E$7=TH!H273,OR(L273="331",M273="331")),"331",IF(AND(OR(L273="131",M273="131"),H273='131-CT'!$E$7),"131",""))</f>
        <v/>
      </c>
      <c r="O273" s="89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15"/>
      <c r="AC273" s="211" t="str">
        <f>IF(F273=VLOOKUP(F273,NXT!$C$12:$C$345,1,0),"","x")</f>
        <v/>
      </c>
    </row>
    <row r="274" spans="1:29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25"/>
        <v>7</v>
      </c>
      <c r="C274" s="184">
        <f t="shared" si="26"/>
        <v>41843</v>
      </c>
      <c r="D274" s="184" t="s">
        <v>922</v>
      </c>
      <c r="E274" s="191">
        <v>41843</v>
      </c>
      <c r="F274" s="192" t="s">
        <v>406</v>
      </c>
      <c r="G274" s="468" t="s">
        <v>591</v>
      </c>
      <c r="H274" s="7" t="s">
        <v>503</v>
      </c>
      <c r="I274" s="256">
        <v>197</v>
      </c>
      <c r="J274" s="256">
        <v>6800</v>
      </c>
      <c r="K274" s="568">
        <f>ROUND(I274*J274,0)</f>
        <v>1339600</v>
      </c>
      <c r="L274" s="569" t="s">
        <v>253</v>
      </c>
      <c r="M274" s="569" t="s">
        <v>177</v>
      </c>
      <c r="N274" s="52" t="str">
        <f>IF(AND('331-CT'!$E$7=TH!H274,OR(L274="331",M274="331")),"331",IF(AND(OR(L274="131",M274="131"),H274='131-CT'!$E$7),"131",""))</f>
        <v/>
      </c>
      <c r="O274" s="89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15"/>
      <c r="AC274" s="211" t="str">
        <f>IF(F274=VLOOKUP(F274,NXT!$C$12:$C$345,1,0),"","x")</f>
        <v/>
      </c>
    </row>
    <row r="275" spans="1:29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25"/>
        <v>7</v>
      </c>
      <c r="C275" s="184">
        <f t="shared" si="26"/>
        <v>41843</v>
      </c>
      <c r="D275" s="184" t="s">
        <v>922</v>
      </c>
      <c r="E275" s="191">
        <v>41843</v>
      </c>
      <c r="F275" s="192" t="s">
        <v>505</v>
      </c>
      <c r="G275" s="468" t="s">
        <v>591</v>
      </c>
      <c r="H275" s="7" t="s">
        <v>503</v>
      </c>
      <c r="I275" s="256">
        <v>216</v>
      </c>
      <c r="J275" s="256">
        <v>6550</v>
      </c>
      <c r="K275" s="568">
        <f>ROUND(I275*J275,0)</f>
        <v>1414800</v>
      </c>
      <c r="L275" s="569" t="s">
        <v>253</v>
      </c>
      <c r="M275" s="569" t="s">
        <v>177</v>
      </c>
      <c r="N275" s="52" t="str">
        <f>IF(AND('331-CT'!$E$7=TH!H275,OR(L275="331",M275="331")),"331",IF(AND(OR(L275="131",M275="131"),H275='131-CT'!$E$7),"131",""))</f>
        <v/>
      </c>
      <c r="O275" s="89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15"/>
      <c r="AC275" s="211" t="str">
        <f>IF(F275=VLOOKUP(F275,NXT!$C$12:$C$345,1,0),"","x")</f>
        <v/>
      </c>
    </row>
    <row r="276" spans="1:29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25"/>
        <v>7</v>
      </c>
      <c r="C276" s="184">
        <f t="shared" si="26"/>
        <v>41843</v>
      </c>
      <c r="D276" s="184" t="s">
        <v>922</v>
      </c>
      <c r="E276" s="191">
        <v>41843</v>
      </c>
      <c r="F276" s="192" t="s">
        <v>421</v>
      </c>
      <c r="G276" s="468" t="s">
        <v>591</v>
      </c>
      <c r="H276" s="7" t="s">
        <v>503</v>
      </c>
      <c r="I276" s="256"/>
      <c r="J276" s="256"/>
      <c r="K276" s="568">
        <v>740110</v>
      </c>
      <c r="L276" s="569" t="s">
        <v>253</v>
      </c>
      <c r="M276" s="569" t="s">
        <v>365</v>
      </c>
      <c r="N276" s="52" t="str">
        <f>IF(AND('331-CT'!$E$7=TH!H276,OR(L276="331",M276="331")),"331",IF(AND(OR(L276="131",M276="131"),H276='131-CT'!$E$7),"131",""))</f>
        <v/>
      </c>
      <c r="O276" s="89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15"/>
      <c r="AC276" s="560" t="str">
        <f>IF(VLOOKUP(H276,DS_131,1,0)&lt;&gt;"","","x")</f>
        <v/>
      </c>
    </row>
    <row r="277" spans="1:29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25"/>
        <v>7</v>
      </c>
      <c r="C277" s="184">
        <f t="shared" si="26"/>
        <v>41843</v>
      </c>
      <c r="D277" s="184" t="s">
        <v>923</v>
      </c>
      <c r="E277" s="191">
        <v>41843</v>
      </c>
      <c r="F277" s="192" t="s">
        <v>592</v>
      </c>
      <c r="G277" s="468" t="s">
        <v>593</v>
      </c>
      <c r="H277" s="7" t="s">
        <v>551</v>
      </c>
      <c r="I277" s="256">
        <v>413</v>
      </c>
      <c r="J277" s="256">
        <v>17800</v>
      </c>
      <c r="K277" s="568">
        <f>ROUND(I277*J277,0)</f>
        <v>7351400</v>
      </c>
      <c r="L277" s="569" t="s">
        <v>253</v>
      </c>
      <c r="M277" s="569" t="s">
        <v>177</v>
      </c>
      <c r="N277" s="52" t="str">
        <f>IF(AND('331-CT'!$E$7=TH!H277,OR(L277="331",M277="331")),"331",IF(AND(OR(L277="131",M277="131"),H277='131-CT'!$E$7),"131",""))</f>
        <v/>
      </c>
      <c r="O277" s="89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15"/>
      <c r="AC277" s="211" t="str">
        <f>IF(F277=VLOOKUP(F277,NXT!$C$12:$C$345,1,0),"","x")</f>
        <v/>
      </c>
    </row>
    <row r="278" spans="1:29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25"/>
        <v>7</v>
      </c>
      <c r="C278" s="184">
        <f t="shared" si="26"/>
        <v>41843</v>
      </c>
      <c r="D278" s="184" t="s">
        <v>923</v>
      </c>
      <c r="E278" s="191">
        <v>41843</v>
      </c>
      <c r="F278" s="192" t="s">
        <v>421</v>
      </c>
      <c r="G278" s="468" t="s">
        <v>593</v>
      </c>
      <c r="H278" s="7" t="s">
        <v>551</v>
      </c>
      <c r="I278" s="256"/>
      <c r="J278" s="256"/>
      <c r="K278" s="568">
        <v>735140</v>
      </c>
      <c r="L278" s="569" t="s">
        <v>253</v>
      </c>
      <c r="M278" s="569" t="s">
        <v>365</v>
      </c>
      <c r="N278" s="52" t="str">
        <f>IF(AND('331-CT'!$E$7=TH!H278,OR(L278="331",M278="331")),"331",IF(AND(OR(L278="131",M278="131"),H278='131-CT'!$E$7),"131",""))</f>
        <v/>
      </c>
      <c r="O278" s="89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15"/>
      <c r="AC278" s="560" t="str">
        <f>IF(VLOOKUP(H278,DS_131,1,0)&lt;&gt;"","","x")</f>
        <v/>
      </c>
    </row>
    <row r="279" spans="1:29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25"/>
        <v>7</v>
      </c>
      <c r="C279" s="184">
        <f t="shared" si="26"/>
        <v>41843</v>
      </c>
      <c r="D279" s="184" t="s">
        <v>924</v>
      </c>
      <c r="E279" s="191">
        <v>41843</v>
      </c>
      <c r="F279" s="192" t="s">
        <v>594</v>
      </c>
      <c r="G279" s="468" t="s">
        <v>595</v>
      </c>
      <c r="H279" s="7" t="s">
        <v>473</v>
      </c>
      <c r="I279" s="256">
        <v>190</v>
      </c>
      <c r="J279" s="256">
        <v>19000</v>
      </c>
      <c r="K279" s="568">
        <f>ROUND(I279*J279,0)</f>
        <v>3610000</v>
      </c>
      <c r="L279" s="569" t="s">
        <v>253</v>
      </c>
      <c r="M279" s="569" t="s">
        <v>177</v>
      </c>
      <c r="N279" s="52" t="str">
        <f>IF(AND('331-CT'!$E$7=TH!H279,OR(L279="331",M279="331")),"331",IF(AND(OR(L279="131",M279="131"),H279='131-CT'!$E$7),"131",""))</f>
        <v/>
      </c>
      <c r="O279" s="89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15"/>
      <c r="AC279" s="211" t="str">
        <f>IF(F279=VLOOKUP(F279,NXT!$C$12:$C$345,1,0),"","x")</f>
        <v/>
      </c>
    </row>
    <row r="280" spans="1:29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25"/>
        <v>7</v>
      </c>
      <c r="C280" s="184">
        <f t="shared" si="26"/>
        <v>41843</v>
      </c>
      <c r="D280" s="184" t="s">
        <v>924</v>
      </c>
      <c r="E280" s="191">
        <v>41843</v>
      </c>
      <c r="F280" s="192" t="s">
        <v>421</v>
      </c>
      <c r="G280" s="468" t="s">
        <v>595</v>
      </c>
      <c r="H280" s="7" t="s">
        <v>473</v>
      </c>
      <c r="I280" s="256"/>
      <c r="J280" s="256"/>
      <c r="K280" s="568">
        <v>361000</v>
      </c>
      <c r="L280" s="569" t="s">
        <v>253</v>
      </c>
      <c r="M280" s="569" t="s">
        <v>365</v>
      </c>
      <c r="N280" s="52" t="str">
        <f>IF(AND('331-CT'!$E$7=TH!H280,OR(L280="331",M280="331")),"331",IF(AND(OR(L280="131",M280="131"),H280='131-CT'!$E$7),"131",""))</f>
        <v/>
      </c>
      <c r="O280" s="89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15"/>
      <c r="AC280" s="560" t="str">
        <f>IF(VLOOKUP(H280,DS_131,1,0)&lt;&gt;"","","x")</f>
        <v/>
      </c>
    </row>
    <row r="281" spans="1:29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25"/>
        <v>7</v>
      </c>
      <c r="C281" s="184">
        <f t="shared" si="26"/>
        <v>41843</v>
      </c>
      <c r="D281" s="184" t="s">
        <v>925</v>
      </c>
      <c r="E281" s="191">
        <v>41843</v>
      </c>
      <c r="F281" s="192" t="s">
        <v>596</v>
      </c>
      <c r="G281" s="468" t="s">
        <v>597</v>
      </c>
      <c r="H281" s="7" t="s">
        <v>909</v>
      </c>
      <c r="I281" s="256">
        <v>202</v>
      </c>
      <c r="J281" s="256">
        <v>6400</v>
      </c>
      <c r="K281" s="568">
        <f>ROUND(I281*J281,0)</f>
        <v>1292800</v>
      </c>
      <c r="L281" s="569" t="s">
        <v>253</v>
      </c>
      <c r="M281" s="569" t="s">
        <v>177</v>
      </c>
      <c r="N281" s="52" t="str">
        <f>IF(AND('331-CT'!$E$7=TH!H281,OR(L281="331",M281="331")),"331",IF(AND(OR(L281="131",M281="131"),H281='131-CT'!$E$7),"131",""))</f>
        <v/>
      </c>
      <c r="O281" s="89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15"/>
      <c r="AC281" s="211" t="str">
        <f>IF(F281=VLOOKUP(F281,NXT!$C$12:$C$345,1,0),"","x")</f>
        <v/>
      </c>
    </row>
    <row r="282" spans="1:29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25"/>
        <v>7</v>
      </c>
      <c r="C282" s="184">
        <f t="shared" si="26"/>
        <v>41843</v>
      </c>
      <c r="D282" s="184" t="s">
        <v>925</v>
      </c>
      <c r="E282" s="191">
        <v>41843</v>
      </c>
      <c r="F282" s="192" t="s">
        <v>598</v>
      </c>
      <c r="G282" s="468" t="s">
        <v>597</v>
      </c>
      <c r="H282" s="7" t="s">
        <v>909</v>
      </c>
      <c r="I282" s="256">
        <v>103</v>
      </c>
      <c r="J282" s="256">
        <v>13500</v>
      </c>
      <c r="K282" s="568">
        <f>ROUND(I282*J282,0)</f>
        <v>1390500</v>
      </c>
      <c r="L282" s="569" t="s">
        <v>253</v>
      </c>
      <c r="M282" s="569" t="s">
        <v>177</v>
      </c>
      <c r="N282" s="52" t="str">
        <f>IF(AND('331-CT'!$E$7=TH!H282,OR(L282="331",M282="331")),"331",IF(AND(OR(L282="131",M282="131"),H282='131-CT'!$E$7),"131",""))</f>
        <v/>
      </c>
      <c r="O282" s="89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15"/>
      <c r="AC282" s="211" t="str">
        <f>IF(F282=VLOOKUP(F282,NXT!$C$12:$C$345,1,0),"","x")</f>
        <v/>
      </c>
    </row>
    <row r="283" spans="1:29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25"/>
        <v>7</v>
      </c>
      <c r="C283" s="184">
        <f t="shared" si="26"/>
        <v>41843</v>
      </c>
      <c r="D283" s="184" t="s">
        <v>925</v>
      </c>
      <c r="E283" s="191">
        <v>41843</v>
      </c>
      <c r="F283" s="192" t="s">
        <v>421</v>
      </c>
      <c r="G283" s="468" t="s">
        <v>597</v>
      </c>
      <c r="H283" s="7" t="s">
        <v>909</v>
      </c>
      <c r="I283" s="256"/>
      <c r="J283" s="256"/>
      <c r="K283" s="568">
        <v>268330</v>
      </c>
      <c r="L283" s="569" t="s">
        <v>253</v>
      </c>
      <c r="M283" s="569" t="s">
        <v>365</v>
      </c>
      <c r="N283" s="52" t="str">
        <f>IF(AND('331-CT'!$E$7=TH!H283,OR(L283="331",M283="331")),"331",IF(AND(OR(L283="131",M283="131"),H283='131-CT'!$E$7),"131",""))</f>
        <v/>
      </c>
      <c r="O283" s="89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15"/>
      <c r="AC283" s="560" t="str">
        <f>IF(VLOOKUP(H283,DS_131,1,0)&lt;&gt;"","","x")</f>
        <v/>
      </c>
    </row>
    <row r="284" spans="1:29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25"/>
        <v>7</v>
      </c>
      <c r="C284" s="184">
        <f t="shared" si="26"/>
        <v>41845</v>
      </c>
      <c r="D284" s="184" t="s">
        <v>926</v>
      </c>
      <c r="E284" s="191">
        <v>41845</v>
      </c>
      <c r="F284" s="192" t="s">
        <v>599</v>
      </c>
      <c r="G284" s="468" t="s">
        <v>600</v>
      </c>
      <c r="H284" s="7" t="s">
        <v>478</v>
      </c>
      <c r="I284" s="256">
        <v>100</v>
      </c>
      <c r="J284" s="256">
        <v>10500</v>
      </c>
      <c r="K284" s="568">
        <f>ROUND(I284*J284,0)</f>
        <v>1050000</v>
      </c>
      <c r="L284" s="569" t="s">
        <v>253</v>
      </c>
      <c r="M284" s="569" t="s">
        <v>177</v>
      </c>
      <c r="N284" s="52" t="str">
        <f>IF(AND('331-CT'!$E$7=TH!H284,OR(L284="331",M284="331")),"331",IF(AND(OR(L284="131",M284="131"),H284='131-CT'!$E$7),"131",""))</f>
        <v/>
      </c>
      <c r="O284" s="89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15"/>
      <c r="AC284" s="211" t="str">
        <f>IF(F284=VLOOKUP(F284,NXT!$C$12:$C$345,1,0),"","x")</f>
        <v/>
      </c>
    </row>
    <row r="285" spans="1:29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25"/>
        <v>7</v>
      </c>
      <c r="C285" s="184">
        <f t="shared" si="26"/>
        <v>41845</v>
      </c>
      <c r="D285" s="184" t="s">
        <v>926</v>
      </c>
      <c r="E285" s="191">
        <v>41845</v>
      </c>
      <c r="F285" s="192" t="s">
        <v>421</v>
      </c>
      <c r="G285" s="468" t="s">
        <v>600</v>
      </c>
      <c r="H285" s="7" t="s">
        <v>478</v>
      </c>
      <c r="I285" s="256"/>
      <c r="J285" s="256"/>
      <c r="K285" s="568">
        <v>105000</v>
      </c>
      <c r="L285" s="569" t="s">
        <v>253</v>
      </c>
      <c r="M285" s="569" t="s">
        <v>365</v>
      </c>
      <c r="N285" s="52" t="str">
        <f>IF(AND('331-CT'!$E$7=TH!H285,OR(L285="331",M285="331")),"331",IF(AND(OR(L285="131",M285="131"),H285='131-CT'!$E$7),"131",""))</f>
        <v/>
      </c>
      <c r="O285" s="89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15"/>
      <c r="AC285" s="560" t="str">
        <f>IF(VLOOKUP(H285,DS_131,1,0)&lt;&gt;"","","x")</f>
        <v/>
      </c>
    </row>
    <row r="286" spans="1:29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25"/>
        <v>7</v>
      </c>
      <c r="C286" s="184">
        <f t="shared" si="26"/>
        <v>41845</v>
      </c>
      <c r="D286" s="184" t="s">
        <v>927</v>
      </c>
      <c r="E286" s="191">
        <v>41845</v>
      </c>
      <c r="F286" s="192" t="s">
        <v>601</v>
      </c>
      <c r="G286" s="468" t="s">
        <v>602</v>
      </c>
      <c r="H286" s="7" t="s">
        <v>603</v>
      </c>
      <c r="I286" s="256">
        <v>371</v>
      </c>
      <c r="J286" s="256">
        <v>13000</v>
      </c>
      <c r="K286" s="568">
        <f>ROUND(I286*J286,0)</f>
        <v>4823000</v>
      </c>
      <c r="L286" s="569" t="s">
        <v>253</v>
      </c>
      <c r="M286" s="569" t="s">
        <v>177</v>
      </c>
      <c r="N286" s="52" t="str">
        <f>IF(AND('331-CT'!$E$7=TH!H286,OR(L286="331",M286="331")),"331",IF(AND(OR(L286="131",M286="131"),H286='131-CT'!$E$7),"131",""))</f>
        <v/>
      </c>
      <c r="O286" s="89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15"/>
      <c r="AC286" s="211" t="str">
        <f>IF(F286=VLOOKUP(F286,NXT!$C$12:$C$345,1,0),"","x")</f>
        <v/>
      </c>
    </row>
    <row r="287" spans="1:29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25"/>
        <v>7</v>
      </c>
      <c r="C287" s="184">
        <f t="shared" si="26"/>
        <v>41845</v>
      </c>
      <c r="D287" s="184" t="s">
        <v>927</v>
      </c>
      <c r="E287" s="191">
        <v>41845</v>
      </c>
      <c r="F287" s="192" t="s">
        <v>604</v>
      </c>
      <c r="G287" s="468" t="s">
        <v>602</v>
      </c>
      <c r="H287" s="7" t="s">
        <v>603</v>
      </c>
      <c r="I287" s="256">
        <v>156</v>
      </c>
      <c r="J287" s="256">
        <v>11900</v>
      </c>
      <c r="K287" s="568">
        <f>ROUND(I287*J287,0)</f>
        <v>1856400</v>
      </c>
      <c r="L287" s="569" t="s">
        <v>253</v>
      </c>
      <c r="M287" s="569" t="s">
        <v>177</v>
      </c>
      <c r="N287" s="52" t="str">
        <f>IF(AND('331-CT'!$E$7=TH!H287,OR(L287="331",M287="331")),"331",IF(AND(OR(L287="131",M287="131"),H287='131-CT'!$E$7),"131",""))</f>
        <v/>
      </c>
      <c r="O287" s="89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15"/>
      <c r="AC287" s="211" t="str">
        <f>IF(F287=VLOOKUP(F287,NXT!$C$12:$C$345,1,0),"","x")</f>
        <v/>
      </c>
    </row>
    <row r="288" spans="1:29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25"/>
        <v>7</v>
      </c>
      <c r="C288" s="184">
        <f t="shared" si="26"/>
        <v>41845</v>
      </c>
      <c r="D288" s="184" t="s">
        <v>927</v>
      </c>
      <c r="E288" s="191">
        <v>41845</v>
      </c>
      <c r="F288" s="192" t="s">
        <v>624</v>
      </c>
      <c r="G288" s="468" t="s">
        <v>602</v>
      </c>
      <c r="H288" s="7" t="s">
        <v>603</v>
      </c>
      <c r="I288" s="256">
        <v>1400</v>
      </c>
      <c r="J288" s="256">
        <v>400</v>
      </c>
      <c r="K288" s="568">
        <f>ROUND(I288*J288,0)</f>
        <v>560000</v>
      </c>
      <c r="L288" s="569" t="s">
        <v>253</v>
      </c>
      <c r="M288" s="569" t="s">
        <v>177</v>
      </c>
      <c r="N288" s="52" t="str">
        <f>IF(AND('331-CT'!$E$7=TH!H288,OR(L288="331",M288="331")),"331",IF(AND(OR(L288="131",M288="131"),H288='131-CT'!$E$7),"131",""))</f>
        <v/>
      </c>
      <c r="O288" s="89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15"/>
      <c r="AC288" s="211" t="str">
        <f>IF(F288=VLOOKUP(F288,NXT!$C$12:$C$345,1,0),"","x")</f>
        <v/>
      </c>
    </row>
    <row r="289" spans="1:29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25"/>
        <v>7</v>
      </c>
      <c r="C289" s="184">
        <f t="shared" si="26"/>
        <v>41845</v>
      </c>
      <c r="D289" s="184" t="s">
        <v>927</v>
      </c>
      <c r="E289" s="191">
        <v>41845</v>
      </c>
      <c r="F289" s="192" t="s">
        <v>421</v>
      </c>
      <c r="G289" s="468" t="s">
        <v>602</v>
      </c>
      <c r="H289" s="7" t="s">
        <v>603</v>
      </c>
      <c r="I289" s="256"/>
      <c r="J289" s="256"/>
      <c r="K289" s="568">
        <v>723940</v>
      </c>
      <c r="L289" s="569" t="s">
        <v>253</v>
      </c>
      <c r="M289" s="569" t="s">
        <v>365</v>
      </c>
      <c r="N289" s="52" t="str">
        <f>IF(AND('331-CT'!$E$7=TH!H289,OR(L289="331",M289="331")),"331",IF(AND(OR(L289="131",M289="131"),H289='131-CT'!$E$7),"131",""))</f>
        <v/>
      </c>
      <c r="O289" s="89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15"/>
      <c r="AC289" s="560" t="str">
        <f>IF(VLOOKUP(H289,DS_131,1,0)&lt;&gt;"","","x")</f>
        <v/>
      </c>
    </row>
    <row r="290" spans="1:29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25"/>
        <v>7</v>
      </c>
      <c r="C290" s="184">
        <f t="shared" si="26"/>
        <v>41845</v>
      </c>
      <c r="D290" s="184" t="s">
        <v>928</v>
      </c>
      <c r="E290" s="191">
        <v>41845</v>
      </c>
      <c r="F290" s="192" t="s">
        <v>605</v>
      </c>
      <c r="G290" s="468" t="s">
        <v>606</v>
      </c>
      <c r="H290" s="7" t="s">
        <v>455</v>
      </c>
      <c r="I290" s="256">
        <v>97</v>
      </c>
      <c r="J290" s="256">
        <v>7900</v>
      </c>
      <c r="K290" s="568">
        <f>ROUND(I290*J290,0)</f>
        <v>766300</v>
      </c>
      <c r="L290" s="569" t="s">
        <v>253</v>
      </c>
      <c r="M290" s="569" t="s">
        <v>177</v>
      </c>
      <c r="N290" s="52" t="str">
        <f>IF(AND('331-CT'!$E$7=TH!H290,OR(L290="331",M290="331")),"331",IF(AND(OR(L290="131",M290="131"),H290='131-CT'!$E$7),"131",""))</f>
        <v/>
      </c>
      <c r="O290" s="89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15"/>
      <c r="AC290" s="211" t="str">
        <f>IF(F290=VLOOKUP(F290,NXT!$C$12:$C$345,1,0),"","x")</f>
        <v/>
      </c>
    </row>
    <row r="291" spans="1:29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25"/>
        <v>7</v>
      </c>
      <c r="C291" s="184">
        <f t="shared" si="26"/>
        <v>41845</v>
      </c>
      <c r="D291" s="184" t="s">
        <v>928</v>
      </c>
      <c r="E291" s="191">
        <v>41845</v>
      </c>
      <c r="F291" s="192" t="s">
        <v>421</v>
      </c>
      <c r="G291" s="468" t="s">
        <v>606</v>
      </c>
      <c r="H291" s="7" t="s">
        <v>455</v>
      </c>
      <c r="I291" s="256"/>
      <c r="J291" s="256"/>
      <c r="K291" s="568">
        <v>76630</v>
      </c>
      <c r="L291" s="569" t="s">
        <v>253</v>
      </c>
      <c r="M291" s="569" t="s">
        <v>365</v>
      </c>
      <c r="N291" s="52" t="str">
        <f>IF(AND('331-CT'!$E$7=TH!H291,OR(L291="331",M291="331")),"331",IF(AND(OR(L291="131",M291="131"),H291='131-CT'!$E$7),"131",""))</f>
        <v/>
      </c>
      <c r="O291" s="89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15"/>
      <c r="AC291" s="560" t="str">
        <f>IF(VLOOKUP(H291,DS_131,1,0)&lt;&gt;"","","x")</f>
        <v/>
      </c>
    </row>
    <row r="292" spans="1:29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25"/>
        <v>7</v>
      </c>
      <c r="C292" s="184">
        <f t="shared" si="26"/>
        <v>41849</v>
      </c>
      <c r="D292" s="184" t="s">
        <v>929</v>
      </c>
      <c r="E292" s="191">
        <v>41849</v>
      </c>
      <c r="F292" s="192" t="s">
        <v>607</v>
      </c>
      <c r="G292" s="468" t="s">
        <v>608</v>
      </c>
      <c r="H292" s="7" t="s">
        <v>583</v>
      </c>
      <c r="I292" s="256">
        <v>1920</v>
      </c>
      <c r="J292" s="256">
        <v>9000</v>
      </c>
      <c r="K292" s="568">
        <f>ROUND(I292*J292,0)</f>
        <v>17280000</v>
      </c>
      <c r="L292" s="569" t="s">
        <v>253</v>
      </c>
      <c r="M292" s="569" t="s">
        <v>177</v>
      </c>
      <c r="N292" s="52" t="str">
        <f>IF(AND('331-CT'!$E$7=TH!H292,OR(L292="331",M292="331")),"331",IF(AND(OR(L292="131",M292="131"),H292='131-CT'!$E$7),"131",""))</f>
        <v/>
      </c>
      <c r="O292" s="89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15"/>
      <c r="AC292" s="211" t="str">
        <f>IF(F292=VLOOKUP(F292,NXT!$C$12:$C$345,1,0),"","x")</f>
        <v/>
      </c>
    </row>
    <row r="293" spans="1:29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25"/>
        <v>7</v>
      </c>
      <c r="C293" s="184">
        <f t="shared" si="26"/>
        <v>41849</v>
      </c>
      <c r="D293" s="184" t="s">
        <v>929</v>
      </c>
      <c r="E293" s="191">
        <v>41849</v>
      </c>
      <c r="F293" s="192" t="s">
        <v>609</v>
      </c>
      <c r="G293" s="468" t="s">
        <v>608</v>
      </c>
      <c r="H293" s="7" t="s">
        <v>583</v>
      </c>
      <c r="I293" s="256">
        <v>560</v>
      </c>
      <c r="J293" s="256">
        <v>12000</v>
      </c>
      <c r="K293" s="568">
        <f>ROUND(I293*J293,0)</f>
        <v>6720000</v>
      </c>
      <c r="L293" s="569" t="s">
        <v>253</v>
      </c>
      <c r="M293" s="569" t="s">
        <v>177</v>
      </c>
      <c r="N293" s="52" t="str">
        <f>IF(AND('331-CT'!$E$7=TH!H293,OR(L293="331",M293="331")),"331",IF(AND(OR(L293="131",M293="131"),H293='131-CT'!$E$7),"131",""))</f>
        <v/>
      </c>
      <c r="O293" s="89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15"/>
      <c r="AC293" s="211" t="str">
        <f>IF(F293=VLOOKUP(F293,NXT!$C$12:$C$345,1,0),"","x")</f>
        <v/>
      </c>
    </row>
    <row r="294" spans="1:29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25"/>
        <v>7</v>
      </c>
      <c r="C294" s="184">
        <f t="shared" si="26"/>
        <v>41849</v>
      </c>
      <c r="D294" s="184" t="s">
        <v>929</v>
      </c>
      <c r="E294" s="191">
        <v>41849</v>
      </c>
      <c r="F294" s="192" t="s">
        <v>421</v>
      </c>
      <c r="G294" s="468" t="s">
        <v>608</v>
      </c>
      <c r="H294" s="7" t="s">
        <v>583</v>
      </c>
      <c r="I294" s="256"/>
      <c r="J294" s="256"/>
      <c r="K294" s="568">
        <v>2400000</v>
      </c>
      <c r="L294" s="569" t="s">
        <v>253</v>
      </c>
      <c r="M294" s="569" t="s">
        <v>365</v>
      </c>
      <c r="N294" s="52" t="str">
        <f>IF(AND('331-CT'!$E$7=TH!H294,OR(L294="331",M294="331")),"331",IF(AND(OR(L294="131",M294="131"),H294='131-CT'!$E$7),"131",""))</f>
        <v/>
      </c>
      <c r="O294" s="89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15"/>
      <c r="AC294" s="560" t="str">
        <f>IF(VLOOKUP(H294,DS_131,1,0)&lt;&gt;"","","x")</f>
        <v/>
      </c>
    </row>
    <row r="295" spans="1:29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7</v>
      </c>
      <c r="C295" s="184">
        <f t="shared" si="26"/>
        <v>41849</v>
      </c>
      <c r="D295" s="184" t="s">
        <v>930</v>
      </c>
      <c r="E295" s="191">
        <v>41849</v>
      </c>
      <c r="F295" s="192" t="s">
        <v>567</v>
      </c>
      <c r="G295" s="468" t="s">
        <v>610</v>
      </c>
      <c r="H295" s="7" t="s">
        <v>439</v>
      </c>
      <c r="I295" s="256">
        <v>515</v>
      </c>
      <c r="J295" s="256">
        <v>10500</v>
      </c>
      <c r="K295" s="568">
        <f>ROUND(I295*J295,0)</f>
        <v>5407500</v>
      </c>
      <c r="L295" s="569" t="s">
        <v>253</v>
      </c>
      <c r="M295" s="569" t="s">
        <v>177</v>
      </c>
      <c r="N295" s="52" t="str">
        <f>IF(AND('331-CT'!$E$7=TH!H295,OR(L295="331",M295="331")),"331",IF(AND(OR(L295="131",M295="131"),H295='131-CT'!$E$7),"131",""))</f>
        <v/>
      </c>
      <c r="O295" s="89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15"/>
      <c r="AC295" s="211" t="str">
        <f>IF(F295=VLOOKUP(F295,NXT!$C$12:$C$345,1,0),"","x")</f>
        <v/>
      </c>
    </row>
    <row r="296" spans="1:29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7</v>
      </c>
      <c r="C296" s="184">
        <f t="shared" si="26"/>
        <v>41849</v>
      </c>
      <c r="D296" s="184" t="s">
        <v>930</v>
      </c>
      <c r="E296" s="191">
        <v>41849</v>
      </c>
      <c r="F296" s="192" t="s">
        <v>611</v>
      </c>
      <c r="G296" s="468" t="s">
        <v>610</v>
      </c>
      <c r="H296" s="7" t="s">
        <v>439</v>
      </c>
      <c r="I296" s="256">
        <v>500</v>
      </c>
      <c r="J296" s="256">
        <v>10500</v>
      </c>
      <c r="K296" s="568">
        <f>ROUND(I296*J296,0)</f>
        <v>5250000</v>
      </c>
      <c r="L296" s="569" t="s">
        <v>253</v>
      </c>
      <c r="M296" s="569" t="s">
        <v>177</v>
      </c>
      <c r="N296" s="52" t="str">
        <f>IF(AND('331-CT'!$E$7=TH!H296,OR(L296="331",M296="331")),"331",IF(AND(OR(L296="131",M296="131"),H296='131-CT'!$E$7),"131",""))</f>
        <v/>
      </c>
      <c r="O296" s="89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15"/>
      <c r="AC296" s="211" t="str">
        <f>IF(F296=VLOOKUP(F296,NXT!$C$12:$C$345,1,0),"","x")</f>
        <v/>
      </c>
    </row>
    <row r="297" spans="1:29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7</v>
      </c>
      <c r="C297" s="184">
        <f t="shared" si="26"/>
        <v>41849</v>
      </c>
      <c r="D297" s="184" t="s">
        <v>930</v>
      </c>
      <c r="E297" s="191">
        <v>41849</v>
      </c>
      <c r="F297" s="192" t="s">
        <v>421</v>
      </c>
      <c r="G297" s="468" t="s">
        <v>610</v>
      </c>
      <c r="H297" s="7" t="s">
        <v>439</v>
      </c>
      <c r="I297" s="256"/>
      <c r="J297" s="256"/>
      <c r="K297" s="568">
        <v>1065750</v>
      </c>
      <c r="L297" s="569" t="s">
        <v>253</v>
      </c>
      <c r="M297" s="569" t="s">
        <v>365</v>
      </c>
      <c r="N297" s="52" t="str">
        <f>IF(AND('331-CT'!$E$7=TH!H297,OR(L297="331",M297="331")),"331",IF(AND(OR(L297="131",M297="131"),H297='131-CT'!$E$7),"131",""))</f>
        <v/>
      </c>
      <c r="O297" s="89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15"/>
      <c r="AC297" s="560" t="str">
        <f>IF(VLOOKUP(H297,DS_131,1,0)&lt;&gt;"","","x")</f>
        <v/>
      </c>
    </row>
    <row r="298" spans="1:29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7</v>
      </c>
      <c r="C298" s="184">
        <f t="shared" si="26"/>
        <v>41850</v>
      </c>
      <c r="D298" s="184" t="s">
        <v>931</v>
      </c>
      <c r="E298" s="191">
        <v>41850</v>
      </c>
      <c r="F298" s="192" t="s">
        <v>418</v>
      </c>
      <c r="G298" s="468" t="s">
        <v>612</v>
      </c>
      <c r="H298" s="7" t="s">
        <v>420</v>
      </c>
      <c r="I298" s="256">
        <v>2554</v>
      </c>
      <c r="J298" s="256">
        <v>5500</v>
      </c>
      <c r="K298" s="568">
        <f>ROUND(I298*J298,0)</f>
        <v>14047000</v>
      </c>
      <c r="L298" s="569" t="s">
        <v>253</v>
      </c>
      <c r="M298" s="569" t="s">
        <v>177</v>
      </c>
      <c r="N298" s="52" t="str">
        <f>IF(AND('331-CT'!$E$7=TH!H298,OR(L298="331",M298="331")),"331",IF(AND(OR(L298="131",M298="131"),H298='131-CT'!$E$7),"131",""))</f>
        <v/>
      </c>
      <c r="O298" s="89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15"/>
      <c r="AC298" s="211" t="str">
        <f>IF(F298=VLOOKUP(F298,NXT!$C$12:$C$345,1,0),"","x")</f>
        <v/>
      </c>
    </row>
    <row r="299" spans="1:29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25"/>
        <v>7</v>
      </c>
      <c r="C299" s="184">
        <f t="shared" si="26"/>
        <v>41850</v>
      </c>
      <c r="D299" s="184" t="s">
        <v>931</v>
      </c>
      <c r="E299" s="191">
        <v>41850</v>
      </c>
      <c r="F299" s="192" t="s">
        <v>613</v>
      </c>
      <c r="G299" s="468" t="s">
        <v>612</v>
      </c>
      <c r="H299" s="7" t="s">
        <v>420</v>
      </c>
      <c r="I299" s="256">
        <v>330</v>
      </c>
      <c r="J299" s="256">
        <v>4500</v>
      </c>
      <c r="K299" s="568">
        <f>ROUND(I299*J299,0)</f>
        <v>1485000</v>
      </c>
      <c r="L299" s="569" t="s">
        <v>253</v>
      </c>
      <c r="M299" s="569" t="s">
        <v>177</v>
      </c>
      <c r="N299" s="52" t="str">
        <f>IF(AND('331-CT'!$E$7=TH!H299,OR(L299="331",M299="331")),"331",IF(AND(OR(L299="131",M299="131"),H299='131-CT'!$E$7),"131",""))</f>
        <v/>
      </c>
      <c r="O299" s="89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15"/>
      <c r="AC299" s="211" t="str">
        <f>IF(F299=VLOOKUP(F299,NXT!$C$12:$C$345,1,0),"","x")</f>
        <v/>
      </c>
    </row>
    <row r="300" spans="1:29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25"/>
        <v>7</v>
      </c>
      <c r="C300" s="184">
        <f t="shared" si="26"/>
        <v>41850</v>
      </c>
      <c r="D300" s="184" t="s">
        <v>931</v>
      </c>
      <c r="E300" s="191">
        <v>41850</v>
      </c>
      <c r="F300" s="192" t="s">
        <v>421</v>
      </c>
      <c r="G300" s="468" t="s">
        <v>612</v>
      </c>
      <c r="H300" s="7" t="s">
        <v>420</v>
      </c>
      <c r="I300" s="256"/>
      <c r="J300" s="256"/>
      <c r="K300" s="568">
        <v>1553200</v>
      </c>
      <c r="L300" s="569" t="s">
        <v>253</v>
      </c>
      <c r="M300" s="569" t="s">
        <v>365</v>
      </c>
      <c r="N300" s="52" t="str">
        <f>IF(AND('331-CT'!$E$7=TH!H300,OR(L300="331",M300="331")),"331",IF(AND(OR(L300="131",M300="131"),H300='131-CT'!$E$7),"131",""))</f>
        <v/>
      </c>
      <c r="O300" s="89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15"/>
      <c r="AC300" s="560" t="str">
        <f>IF(VLOOKUP(H300,DS_131,1,0)&lt;&gt;"","","x")</f>
        <v/>
      </c>
    </row>
    <row r="301" spans="1:29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25"/>
        <v>8</v>
      </c>
      <c r="C301" s="184">
        <f t="shared" si="26"/>
        <v>41857</v>
      </c>
      <c r="D301" s="184" t="s">
        <v>932</v>
      </c>
      <c r="E301" s="191">
        <v>41857</v>
      </c>
      <c r="F301" s="189" t="s">
        <v>422</v>
      </c>
      <c r="G301" s="468" t="s">
        <v>614</v>
      </c>
      <c r="H301" s="7" t="s">
        <v>908</v>
      </c>
      <c r="I301" s="256">
        <v>500</v>
      </c>
      <c r="J301" s="256">
        <v>17300</v>
      </c>
      <c r="K301" s="568">
        <f>ROUND(I301*J301,0)</f>
        <v>8650000</v>
      </c>
      <c r="L301" s="569" t="s">
        <v>253</v>
      </c>
      <c r="M301" s="569" t="s">
        <v>177</v>
      </c>
      <c r="N301" s="52" t="str">
        <f>IF(AND('331-CT'!$E$7=TH!H301,OR(L301="331",M301="331")),"331",IF(AND(OR(L301="131",M301="131"),H301='131-CT'!$E$7),"131",""))</f>
        <v/>
      </c>
      <c r="O301" s="89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15"/>
      <c r="AC301" s="211" t="str">
        <f>IF(F301=VLOOKUP(F301,NXT!$C$12:$C$345,1,0),"","x")</f>
        <v/>
      </c>
    </row>
    <row r="302" spans="1:29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25"/>
        <v>8</v>
      </c>
      <c r="C302" s="184">
        <f t="shared" si="26"/>
        <v>41858</v>
      </c>
      <c r="D302" s="184" t="s">
        <v>932</v>
      </c>
      <c r="E302" s="191">
        <v>41858</v>
      </c>
      <c r="F302" s="40" t="s">
        <v>446</v>
      </c>
      <c r="G302" s="468" t="s">
        <v>614</v>
      </c>
      <c r="H302" s="7" t="s">
        <v>908</v>
      </c>
      <c r="I302" s="256">
        <v>1000</v>
      </c>
      <c r="J302" s="256">
        <v>1500</v>
      </c>
      <c r="K302" s="568">
        <f>ROUND(I302*J302,0)</f>
        <v>1500000</v>
      </c>
      <c r="L302" s="569" t="s">
        <v>253</v>
      </c>
      <c r="M302" s="569" t="s">
        <v>177</v>
      </c>
      <c r="N302" s="52" t="str">
        <f>IF(AND('331-CT'!$E$7=TH!H302,OR(L302="331",M302="331")),"331",IF(AND(OR(L302="131",M302="131"),H302='131-CT'!$E$7),"131",""))</f>
        <v/>
      </c>
      <c r="O302" s="89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15"/>
      <c r="AC302" s="211" t="str">
        <f>IF(F302=VLOOKUP(F302,NXT!$C$12:$C$345,1,0),"","x")</f>
        <v/>
      </c>
    </row>
    <row r="303" spans="1:29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5"/>
        <v>8</v>
      </c>
      <c r="C303" s="184">
        <f t="shared" si="26"/>
        <v>41859</v>
      </c>
      <c r="D303" s="184" t="s">
        <v>932</v>
      </c>
      <c r="E303" s="191">
        <v>41859</v>
      </c>
      <c r="F303" s="192" t="s">
        <v>421</v>
      </c>
      <c r="G303" s="468" t="s">
        <v>614</v>
      </c>
      <c r="H303" s="7" t="s">
        <v>908</v>
      </c>
      <c r="I303" s="256"/>
      <c r="J303" s="256"/>
      <c r="K303" s="568">
        <v>1015000</v>
      </c>
      <c r="L303" s="569" t="s">
        <v>253</v>
      </c>
      <c r="M303" s="569" t="s">
        <v>365</v>
      </c>
      <c r="N303" s="52" t="str">
        <f>IF(AND('331-CT'!$E$7=TH!H303,OR(L303="331",M303="331")),"331",IF(AND(OR(L303="131",M303="131"),H303='131-CT'!$E$7),"131",""))</f>
        <v/>
      </c>
      <c r="O303" s="89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15"/>
      <c r="AC303" s="560" t="str">
        <f>IF(VLOOKUP(H303,DS_131,1,0)&lt;&gt;"","","x")</f>
        <v/>
      </c>
    </row>
    <row r="304" spans="1:29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25"/>
        <v>8</v>
      </c>
      <c r="C304" s="184">
        <f t="shared" si="26"/>
        <v>41859</v>
      </c>
      <c r="D304" s="184" t="s">
        <v>933</v>
      </c>
      <c r="E304" s="191">
        <v>41859</v>
      </c>
      <c r="F304" s="192" t="s">
        <v>495</v>
      </c>
      <c r="G304" s="468" t="s">
        <v>615</v>
      </c>
      <c r="H304" s="7" t="s">
        <v>909</v>
      </c>
      <c r="I304" s="256">
        <v>300</v>
      </c>
      <c r="J304" s="256">
        <v>8600</v>
      </c>
      <c r="K304" s="568">
        <f>ROUND(I304*J304,0)</f>
        <v>2580000</v>
      </c>
      <c r="L304" s="569" t="s">
        <v>253</v>
      </c>
      <c r="M304" s="569" t="s">
        <v>177</v>
      </c>
      <c r="N304" s="52" t="str">
        <f>IF(AND('331-CT'!$E$7=TH!H304,OR(L304="331",M304="331")),"331",IF(AND(OR(L304="131",M304="131"),H304='131-CT'!$E$7),"131",""))</f>
        <v/>
      </c>
      <c r="O304" s="89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15"/>
      <c r="AC304" s="211" t="str">
        <f>IF(F304=VLOOKUP(F304,NXT!$C$12:$C$345,1,0),"","x")</f>
        <v/>
      </c>
    </row>
    <row r="305" spans="1:29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25"/>
        <v>8</v>
      </c>
      <c r="C305" s="184">
        <f t="shared" si="26"/>
        <v>41859</v>
      </c>
      <c r="D305" s="184" t="s">
        <v>933</v>
      </c>
      <c r="E305" s="191">
        <v>41859</v>
      </c>
      <c r="F305" s="192" t="s">
        <v>421</v>
      </c>
      <c r="G305" s="468" t="s">
        <v>615</v>
      </c>
      <c r="H305" s="7" t="s">
        <v>909</v>
      </c>
      <c r="I305" s="256"/>
      <c r="J305" s="256"/>
      <c r="K305" s="568">
        <v>258000</v>
      </c>
      <c r="L305" s="569" t="s">
        <v>253</v>
      </c>
      <c r="M305" s="569" t="s">
        <v>365</v>
      </c>
      <c r="N305" s="52" t="str">
        <f>IF(AND('331-CT'!$E$7=TH!H305,OR(L305="331",M305="331")),"331",IF(AND(OR(L305="131",M305="131"),H305='131-CT'!$E$7),"131",""))</f>
        <v/>
      </c>
      <c r="O305" s="89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15"/>
      <c r="AC305" s="560" t="str">
        <f>IF(VLOOKUP(H305,DS_131,1,0)&lt;&gt;"","","x")</f>
        <v/>
      </c>
    </row>
    <row r="306" spans="1:29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25"/>
        <v>8</v>
      </c>
      <c r="C306" s="184">
        <f t="shared" si="26"/>
        <v>41859</v>
      </c>
      <c r="D306" s="184" t="s">
        <v>934</v>
      </c>
      <c r="E306" s="191">
        <v>41859</v>
      </c>
      <c r="F306" s="192" t="s">
        <v>616</v>
      </c>
      <c r="G306" s="468" t="s">
        <v>617</v>
      </c>
      <c r="H306" s="7" t="s">
        <v>618</v>
      </c>
      <c r="I306" s="256">
        <v>393</v>
      </c>
      <c r="J306" s="256">
        <v>11100</v>
      </c>
      <c r="K306" s="568">
        <f>ROUND(I306*J306,0)</f>
        <v>4362300</v>
      </c>
      <c r="L306" s="569" t="s">
        <v>253</v>
      </c>
      <c r="M306" s="569" t="s">
        <v>177</v>
      </c>
      <c r="N306" s="52" t="str">
        <f>IF(AND('331-CT'!$E$7=TH!H306,OR(L306="331",M306="331")),"331",IF(AND(OR(L306="131",M306="131"),H306='131-CT'!$E$7),"131",""))</f>
        <v/>
      </c>
      <c r="O306" s="89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15"/>
      <c r="AC306" s="211" t="str">
        <f>IF(F306=VLOOKUP(F306,NXT!$C$12:$C$345,1,0),"","x")</f>
        <v/>
      </c>
    </row>
    <row r="307" spans="1:29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25"/>
        <v>8</v>
      </c>
      <c r="C307" s="184">
        <f t="shared" si="26"/>
        <v>41859</v>
      </c>
      <c r="D307" s="184" t="s">
        <v>934</v>
      </c>
      <c r="E307" s="191">
        <v>41859</v>
      </c>
      <c r="F307" s="192" t="s">
        <v>421</v>
      </c>
      <c r="G307" s="468" t="s">
        <v>617</v>
      </c>
      <c r="H307" s="7" t="s">
        <v>618</v>
      </c>
      <c r="I307" s="256"/>
      <c r="J307" s="256"/>
      <c r="K307" s="568">
        <v>436230</v>
      </c>
      <c r="L307" s="569" t="s">
        <v>253</v>
      </c>
      <c r="M307" s="569" t="s">
        <v>365</v>
      </c>
      <c r="N307" s="52" t="str">
        <f>IF(AND('331-CT'!$E$7=TH!H307,OR(L307="331",M307="331")),"331",IF(AND(OR(L307="131",M307="131"),H307='131-CT'!$E$7),"131",""))</f>
        <v/>
      </c>
      <c r="O307" s="89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15"/>
      <c r="AC307" s="560" t="str">
        <f>IF(VLOOKUP(H307,DS_131,1,0)&lt;&gt;"","","x")</f>
        <v/>
      </c>
    </row>
    <row r="308" spans="1:29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25"/>
        <v>8</v>
      </c>
      <c r="C308" s="184">
        <f t="shared" si="26"/>
        <v>41859</v>
      </c>
      <c r="D308" s="184" t="s">
        <v>935</v>
      </c>
      <c r="E308" s="191">
        <v>41859</v>
      </c>
      <c r="F308" s="192" t="s">
        <v>619</v>
      </c>
      <c r="G308" s="468" t="s">
        <v>620</v>
      </c>
      <c r="H308" s="7" t="s">
        <v>603</v>
      </c>
      <c r="I308" s="256">
        <v>198</v>
      </c>
      <c r="J308" s="256">
        <v>18300</v>
      </c>
      <c r="K308" s="568">
        <f t="shared" ref="K308:K313" si="27">ROUND(I308*J308,0)</f>
        <v>3623400</v>
      </c>
      <c r="L308" s="569" t="s">
        <v>253</v>
      </c>
      <c r="M308" s="569" t="s">
        <v>177</v>
      </c>
      <c r="N308" s="52" t="str">
        <f>IF(AND('331-CT'!$E$7=TH!H308,OR(L308="331",M308="331")),"331",IF(AND(OR(L308="131",M308="131"),H308='131-CT'!$E$7),"131",""))</f>
        <v/>
      </c>
      <c r="O308" s="89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15"/>
      <c r="AC308" s="211" t="str">
        <f>IF(F308=VLOOKUP(F308,NXT!$C$12:$C$345,1,0),"","x")</f>
        <v/>
      </c>
    </row>
    <row r="309" spans="1:29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8</v>
      </c>
      <c r="C309" s="184">
        <f t="shared" si="26"/>
        <v>41859</v>
      </c>
      <c r="D309" s="184" t="s">
        <v>935</v>
      </c>
      <c r="E309" s="191">
        <v>41859</v>
      </c>
      <c r="F309" s="192" t="s">
        <v>621</v>
      </c>
      <c r="G309" s="468" t="s">
        <v>620</v>
      </c>
      <c r="H309" s="7" t="s">
        <v>603</v>
      </c>
      <c r="I309" s="257">
        <v>996</v>
      </c>
      <c r="J309" s="257">
        <v>7160</v>
      </c>
      <c r="K309" s="568">
        <f t="shared" si="27"/>
        <v>7131360</v>
      </c>
      <c r="L309" s="569" t="s">
        <v>253</v>
      </c>
      <c r="M309" s="569" t="s">
        <v>177</v>
      </c>
      <c r="N309" s="52" t="str">
        <f>IF(AND('331-CT'!$E$7=TH!H309,OR(L309="331",M309="331")),"331",IF(AND(OR(L309="131",M309="131"),H309='131-CT'!$E$7),"131",""))</f>
        <v/>
      </c>
      <c r="O309" s="89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15"/>
      <c r="AC309" s="211" t="str">
        <f>IF(F309=VLOOKUP(F309,NXT!$C$12:$C$345,1,0),"","x")</f>
        <v/>
      </c>
    </row>
    <row r="310" spans="1:29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ref="B310:B370" si="28">IF(C310&lt;&gt;"",MONTH(C310),"")</f>
        <v>8</v>
      </c>
      <c r="C310" s="184">
        <f t="shared" ref="C310:C370" si="29">E310</f>
        <v>41859</v>
      </c>
      <c r="D310" s="184" t="s">
        <v>935</v>
      </c>
      <c r="E310" s="191">
        <v>41859</v>
      </c>
      <c r="F310" s="192" t="s">
        <v>622</v>
      </c>
      <c r="G310" s="468" t="s">
        <v>620</v>
      </c>
      <c r="H310" s="7" t="s">
        <v>603</v>
      </c>
      <c r="I310" s="256">
        <v>650</v>
      </c>
      <c r="J310" s="256">
        <v>17600</v>
      </c>
      <c r="K310" s="568">
        <f t="shared" si="27"/>
        <v>11440000</v>
      </c>
      <c r="L310" s="569" t="s">
        <v>253</v>
      </c>
      <c r="M310" s="569" t="s">
        <v>177</v>
      </c>
      <c r="N310" s="52" t="str">
        <f>IF(AND('331-CT'!$E$7=TH!H310,OR(L310="331",M310="331")),"331",IF(AND(OR(L310="131",M310="131"),H310='131-CT'!$E$7),"131",""))</f>
        <v/>
      </c>
      <c r="O310" s="89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15"/>
      <c r="AC310" s="211" t="str">
        <f>IF(F310=VLOOKUP(F310,NXT!$C$12:$C$345,1,0),"","x")</f>
        <v/>
      </c>
    </row>
    <row r="311" spans="1:29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28"/>
        <v>8</v>
      </c>
      <c r="C311" s="184">
        <f t="shared" si="29"/>
        <v>41859</v>
      </c>
      <c r="D311" s="184" t="s">
        <v>935</v>
      </c>
      <c r="E311" s="191">
        <v>41859</v>
      </c>
      <c r="F311" s="192" t="s">
        <v>623</v>
      </c>
      <c r="G311" s="468" t="s">
        <v>620</v>
      </c>
      <c r="H311" s="7" t="s">
        <v>603</v>
      </c>
      <c r="I311" s="256">
        <v>1440</v>
      </c>
      <c r="J311" s="256">
        <v>8100</v>
      </c>
      <c r="K311" s="568">
        <f t="shared" si="27"/>
        <v>11664000</v>
      </c>
      <c r="L311" s="569" t="s">
        <v>253</v>
      </c>
      <c r="M311" s="569" t="s">
        <v>177</v>
      </c>
      <c r="N311" s="52" t="str">
        <f>IF(AND('331-CT'!$E$7=TH!H311,OR(L311="331",M311="331")),"331",IF(AND(OR(L311="131",M311="131"),H311='131-CT'!$E$7),"131",""))</f>
        <v/>
      </c>
      <c r="O311" s="89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15"/>
      <c r="AC311" s="211" t="str">
        <f>IF(F311=VLOOKUP(F311,NXT!$C$12:$C$345,1,0),"","x")</f>
        <v/>
      </c>
    </row>
    <row r="312" spans="1:29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28"/>
        <v>8</v>
      </c>
      <c r="C312" s="184">
        <f t="shared" si="29"/>
        <v>41859</v>
      </c>
      <c r="D312" s="184" t="s">
        <v>935</v>
      </c>
      <c r="E312" s="191">
        <v>41859</v>
      </c>
      <c r="F312" s="192" t="s">
        <v>601</v>
      </c>
      <c r="G312" s="468" t="s">
        <v>620</v>
      </c>
      <c r="H312" s="7" t="s">
        <v>603</v>
      </c>
      <c r="I312" s="256">
        <v>160</v>
      </c>
      <c r="J312" s="256">
        <v>13000</v>
      </c>
      <c r="K312" s="568">
        <f t="shared" si="27"/>
        <v>2080000</v>
      </c>
      <c r="L312" s="569" t="s">
        <v>253</v>
      </c>
      <c r="M312" s="569" t="s">
        <v>177</v>
      </c>
      <c r="N312" s="52" t="str">
        <f>IF(AND('331-CT'!$E$7=TH!H312,OR(L312="331",M312="331")),"331",IF(AND(OR(L312="131",M312="131"),H312='131-CT'!$E$7),"131",""))</f>
        <v/>
      </c>
      <c r="O312" s="89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15"/>
      <c r="AC312" s="211" t="str">
        <f>IF(F312=VLOOKUP(F312,NXT!$C$12:$C$345,1,0),"","x")</f>
        <v/>
      </c>
    </row>
    <row r="313" spans="1:29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28"/>
        <v>8</v>
      </c>
      <c r="C313" s="184">
        <f t="shared" si="29"/>
        <v>41859</v>
      </c>
      <c r="D313" s="184" t="s">
        <v>935</v>
      </c>
      <c r="E313" s="191">
        <v>41859</v>
      </c>
      <c r="F313" s="192" t="s">
        <v>624</v>
      </c>
      <c r="G313" s="468" t="s">
        <v>620</v>
      </c>
      <c r="H313" s="7" t="s">
        <v>603</v>
      </c>
      <c r="I313" s="256">
        <v>4400</v>
      </c>
      <c r="J313" s="256">
        <v>400</v>
      </c>
      <c r="K313" s="568">
        <f t="shared" si="27"/>
        <v>1760000</v>
      </c>
      <c r="L313" s="569" t="s">
        <v>253</v>
      </c>
      <c r="M313" s="569" t="s">
        <v>177</v>
      </c>
      <c r="N313" s="52" t="str">
        <f>IF(AND('331-CT'!$E$7=TH!H313,OR(L313="331",M313="331")),"331",IF(AND(OR(L313="131",M313="131"),H313='131-CT'!$E$7),"131",""))</f>
        <v/>
      </c>
      <c r="O313" s="89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15"/>
      <c r="AC313" s="211" t="str">
        <f>IF(F313=VLOOKUP(F313,NXT!$C$12:$C$345,1,0),"","x")</f>
        <v/>
      </c>
    </row>
    <row r="314" spans="1:29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28"/>
        <v>8</v>
      </c>
      <c r="C314" s="184">
        <f t="shared" si="29"/>
        <v>41859</v>
      </c>
      <c r="D314" s="184" t="s">
        <v>935</v>
      </c>
      <c r="E314" s="191">
        <v>41859</v>
      </c>
      <c r="F314" s="192" t="s">
        <v>421</v>
      </c>
      <c r="G314" s="468" t="s">
        <v>620</v>
      </c>
      <c r="H314" s="7" t="s">
        <v>603</v>
      </c>
      <c r="I314" s="256"/>
      <c r="J314" s="256"/>
      <c r="K314" s="568">
        <v>3769876</v>
      </c>
      <c r="L314" s="569" t="s">
        <v>253</v>
      </c>
      <c r="M314" s="569" t="s">
        <v>365</v>
      </c>
      <c r="N314" s="52" t="str">
        <f>IF(AND('331-CT'!$E$7=TH!H314,OR(L314="331",M314="331")),"331",IF(AND(OR(L314="131",M314="131"),H314='131-CT'!$E$7),"131",""))</f>
        <v/>
      </c>
      <c r="O314" s="89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15"/>
      <c r="AC314" s="560" t="str">
        <f>IF(VLOOKUP(H314,DS_131,1,0)&lt;&gt;"","","x")</f>
        <v/>
      </c>
    </row>
    <row r="315" spans="1:29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28"/>
        <v>8</v>
      </c>
      <c r="C315" s="184">
        <f t="shared" si="29"/>
        <v>41863</v>
      </c>
      <c r="D315" s="184" t="s">
        <v>936</v>
      </c>
      <c r="E315" s="191">
        <v>41863</v>
      </c>
      <c r="F315" s="192" t="s">
        <v>460</v>
      </c>
      <c r="G315" s="468" t="s">
        <v>625</v>
      </c>
      <c r="H315" s="7" t="s">
        <v>462</v>
      </c>
      <c r="I315" s="256">
        <v>1043</v>
      </c>
      <c r="J315" s="256">
        <v>8740</v>
      </c>
      <c r="K315" s="568">
        <f>ROUND(I315*J315,0)</f>
        <v>9115820</v>
      </c>
      <c r="L315" s="569" t="s">
        <v>253</v>
      </c>
      <c r="M315" s="569" t="s">
        <v>177</v>
      </c>
      <c r="N315" s="52" t="str">
        <f>IF(AND('331-CT'!$E$7=TH!H315,OR(L315="331",M315="331")),"331",IF(AND(OR(L315="131",M315="131"),H315='131-CT'!$E$7),"131",""))</f>
        <v/>
      </c>
      <c r="O315" s="89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15"/>
      <c r="AC315" s="211" t="str">
        <f>IF(F315=VLOOKUP(F315,NXT!$C$12:$C$345,1,0),"","x")</f>
        <v/>
      </c>
    </row>
    <row r="316" spans="1:29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28"/>
        <v>8</v>
      </c>
      <c r="C316" s="184">
        <f t="shared" si="29"/>
        <v>41863</v>
      </c>
      <c r="D316" s="184" t="s">
        <v>936</v>
      </c>
      <c r="E316" s="191">
        <v>41863</v>
      </c>
      <c r="F316" s="192" t="s">
        <v>421</v>
      </c>
      <c r="G316" s="468" t="s">
        <v>625</v>
      </c>
      <c r="H316" s="7" t="s">
        <v>462</v>
      </c>
      <c r="I316" s="256"/>
      <c r="J316" s="256"/>
      <c r="K316" s="568">
        <v>911582</v>
      </c>
      <c r="L316" s="569" t="s">
        <v>253</v>
      </c>
      <c r="M316" s="569" t="s">
        <v>365</v>
      </c>
      <c r="N316" s="52" t="str">
        <f>IF(AND('331-CT'!$E$7=TH!H316,OR(L316="331",M316="331")),"331",IF(AND(OR(L316="131",M316="131"),H316='131-CT'!$E$7),"131",""))</f>
        <v/>
      </c>
      <c r="O316" s="89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15"/>
      <c r="AC316" s="560" t="str">
        <f>IF(VLOOKUP(H316,DS_131,1,0)&lt;&gt;"","","x")</f>
        <v/>
      </c>
    </row>
    <row r="317" spans="1:29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28"/>
        <v>8</v>
      </c>
      <c r="C317" s="184">
        <f t="shared" si="29"/>
        <v>41864</v>
      </c>
      <c r="D317" s="184" t="s">
        <v>938</v>
      </c>
      <c r="E317" s="191">
        <v>41864</v>
      </c>
      <c r="F317" s="192" t="s">
        <v>437</v>
      </c>
      <c r="G317" s="468" t="s">
        <v>626</v>
      </c>
      <c r="H317" s="7" t="s">
        <v>439</v>
      </c>
      <c r="I317" s="256">
        <v>650</v>
      </c>
      <c r="J317" s="256">
        <v>10500</v>
      </c>
      <c r="K317" s="568">
        <f>ROUND(I317*J317,0)</f>
        <v>6825000</v>
      </c>
      <c r="L317" s="569" t="s">
        <v>253</v>
      </c>
      <c r="M317" s="569" t="s">
        <v>177</v>
      </c>
      <c r="N317" s="52" t="str">
        <f>IF(AND('331-CT'!$E$7=TH!H317,OR(L317="331",M317="331")),"331",IF(AND(OR(L317="131",M317="131"),H317='131-CT'!$E$7),"131",""))</f>
        <v/>
      </c>
      <c r="O317" s="89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15"/>
      <c r="AC317" s="211" t="str">
        <f>IF(F317=VLOOKUP(F317,NXT!$C$12:$C$345,1,0),"","x")</f>
        <v/>
      </c>
    </row>
    <row r="318" spans="1:29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28"/>
        <v>8</v>
      </c>
      <c r="C318" s="184">
        <f t="shared" si="29"/>
        <v>41864</v>
      </c>
      <c r="D318" s="184" t="s">
        <v>938</v>
      </c>
      <c r="E318" s="191">
        <v>41864</v>
      </c>
      <c r="F318" s="192" t="s">
        <v>421</v>
      </c>
      <c r="G318" s="468" t="s">
        <v>626</v>
      </c>
      <c r="H318" s="7" t="s">
        <v>439</v>
      </c>
      <c r="I318" s="256"/>
      <c r="J318" s="256"/>
      <c r="K318" s="568">
        <v>682500</v>
      </c>
      <c r="L318" s="569" t="s">
        <v>253</v>
      </c>
      <c r="M318" s="569" t="s">
        <v>365</v>
      </c>
      <c r="N318" s="52" t="str">
        <f>IF(AND('331-CT'!$E$7=TH!H318,OR(L318="331",M318="331")),"331",IF(AND(OR(L318="131",M318="131"),H318='131-CT'!$E$7),"131",""))</f>
        <v/>
      </c>
      <c r="O318" s="89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15"/>
      <c r="AC318" s="560" t="str">
        <f>IF(VLOOKUP(H318,DS_131,1,0)&lt;&gt;"","","x")</f>
        <v/>
      </c>
    </row>
    <row r="319" spans="1:29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28"/>
        <v>8</v>
      </c>
      <c r="C319" s="184">
        <f t="shared" si="29"/>
        <v>41865</v>
      </c>
      <c r="D319" s="184" t="s">
        <v>939</v>
      </c>
      <c r="E319" s="191">
        <v>41865</v>
      </c>
      <c r="F319" s="192" t="s">
        <v>495</v>
      </c>
      <c r="G319" s="468" t="s">
        <v>627</v>
      </c>
      <c r="H319" s="7" t="s">
        <v>909</v>
      </c>
      <c r="I319" s="256">
        <v>208</v>
      </c>
      <c r="J319" s="256">
        <v>8600</v>
      </c>
      <c r="K319" s="568">
        <f>ROUND(I319*J319,0)</f>
        <v>1788800</v>
      </c>
      <c r="L319" s="569" t="s">
        <v>253</v>
      </c>
      <c r="M319" s="569" t="s">
        <v>177</v>
      </c>
      <c r="N319" s="52" t="str">
        <f>IF(AND('331-CT'!$E$7=TH!H319,OR(L319="331",M319="331")),"331",IF(AND(OR(L319="131",M319="131"),H319='131-CT'!$E$7),"131",""))</f>
        <v/>
      </c>
      <c r="O319" s="89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15"/>
      <c r="AC319" s="211" t="str">
        <f>IF(F319=VLOOKUP(F319,NXT!$C$12:$C$345,1,0),"","x")</f>
        <v/>
      </c>
    </row>
    <row r="320" spans="1:29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28"/>
        <v>8</v>
      </c>
      <c r="C320" s="184">
        <f t="shared" si="29"/>
        <v>41865</v>
      </c>
      <c r="D320" s="184" t="s">
        <v>939</v>
      </c>
      <c r="E320" s="191">
        <v>41865</v>
      </c>
      <c r="F320" s="192" t="s">
        <v>513</v>
      </c>
      <c r="G320" s="468" t="s">
        <v>627</v>
      </c>
      <c r="H320" s="7" t="s">
        <v>909</v>
      </c>
      <c r="I320" s="256">
        <v>320</v>
      </c>
      <c r="J320" s="256">
        <v>7000</v>
      </c>
      <c r="K320" s="568">
        <f>ROUND(I320*J320,0)</f>
        <v>2240000</v>
      </c>
      <c r="L320" s="569" t="s">
        <v>253</v>
      </c>
      <c r="M320" s="569" t="s">
        <v>177</v>
      </c>
      <c r="N320" s="52" t="str">
        <f>IF(AND('331-CT'!$E$7=TH!H320,OR(L320="331",M320="331")),"331",IF(AND(OR(L320="131",M320="131"),H320='131-CT'!$E$7),"131",""))</f>
        <v/>
      </c>
      <c r="O320" s="89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15"/>
      <c r="AC320" s="211" t="str">
        <f>IF(F320=VLOOKUP(F320,NXT!$C$12:$C$345,1,0),"","x")</f>
        <v/>
      </c>
    </row>
    <row r="321" spans="1:31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28"/>
        <v>8</v>
      </c>
      <c r="C321" s="184">
        <f t="shared" si="29"/>
        <v>41865</v>
      </c>
      <c r="D321" s="184" t="s">
        <v>939</v>
      </c>
      <c r="E321" s="191">
        <v>41865</v>
      </c>
      <c r="F321" s="192" t="s">
        <v>421</v>
      </c>
      <c r="G321" s="468" t="s">
        <v>627</v>
      </c>
      <c r="H321" s="7" t="s">
        <v>909</v>
      </c>
      <c r="I321" s="256"/>
      <c r="J321" s="256"/>
      <c r="K321" s="568">
        <v>402880</v>
      </c>
      <c r="L321" s="569" t="s">
        <v>253</v>
      </c>
      <c r="M321" s="569" t="s">
        <v>365</v>
      </c>
      <c r="N321" s="52" t="str">
        <f>IF(AND('331-CT'!$E$7=TH!H321,OR(L321="331",M321="331")),"331",IF(AND(OR(L321="131",M321="131"),H321='131-CT'!$E$7),"131",""))</f>
        <v/>
      </c>
      <c r="O321" s="89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15"/>
      <c r="AC321" s="560" t="str">
        <f>IF(VLOOKUP(H321,DS_131,1,0)&lt;&gt;"","","x")</f>
        <v/>
      </c>
    </row>
    <row r="322" spans="1:31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28"/>
        <v>8</v>
      </c>
      <c r="C322" s="184">
        <f t="shared" si="29"/>
        <v>41865</v>
      </c>
      <c r="D322" s="184" t="s">
        <v>940</v>
      </c>
      <c r="E322" s="191">
        <v>41865</v>
      </c>
      <c r="F322" s="192" t="s">
        <v>587</v>
      </c>
      <c r="G322" s="468" t="s">
        <v>628</v>
      </c>
      <c r="H322" s="7" t="s">
        <v>583</v>
      </c>
      <c r="I322" s="256">
        <v>740</v>
      </c>
      <c r="J322" s="256">
        <v>9100</v>
      </c>
      <c r="K322" s="568">
        <f>ROUND(I322*J322,0)</f>
        <v>6734000</v>
      </c>
      <c r="L322" s="569" t="s">
        <v>253</v>
      </c>
      <c r="M322" s="569" t="s">
        <v>177</v>
      </c>
      <c r="N322" s="52" t="str">
        <f>IF(AND('331-CT'!$E$7=TH!H322,OR(L322="331",M322="331")),"331",IF(AND(OR(L322="131",M322="131"),H322='131-CT'!$E$7),"131",""))</f>
        <v/>
      </c>
      <c r="O322" s="89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15"/>
      <c r="AC322" s="211" t="str">
        <f>IF(F322=VLOOKUP(F322,NXT!$C$12:$C$345,1,0),"","x")</f>
        <v/>
      </c>
    </row>
    <row r="323" spans="1:31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8"/>
        <v>8</v>
      </c>
      <c r="C323" s="184">
        <f t="shared" si="29"/>
        <v>41865</v>
      </c>
      <c r="D323" s="184" t="s">
        <v>940</v>
      </c>
      <c r="E323" s="191">
        <v>41865</v>
      </c>
      <c r="F323" s="192" t="s">
        <v>421</v>
      </c>
      <c r="G323" s="468" t="s">
        <v>628</v>
      </c>
      <c r="H323" s="7" t="s">
        <v>583</v>
      </c>
      <c r="I323" s="256"/>
      <c r="J323" s="256"/>
      <c r="K323" s="568">
        <v>673400</v>
      </c>
      <c r="L323" s="569" t="s">
        <v>253</v>
      </c>
      <c r="M323" s="569" t="s">
        <v>365</v>
      </c>
      <c r="N323" s="52" t="str">
        <f>IF(AND('331-CT'!$E$7=TH!H323,OR(L323="331",M323="331")),"331",IF(AND(OR(L323="131",M323="131"),H323='131-CT'!$E$7),"131",""))</f>
        <v/>
      </c>
      <c r="O323" s="89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15"/>
      <c r="AC323" s="560" t="str">
        <f>IF(VLOOKUP(H323,DS_131,1,0)&lt;&gt;"","","x")</f>
        <v/>
      </c>
    </row>
    <row r="324" spans="1:31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8"/>
        <v>8</v>
      </c>
      <c r="C324" s="184">
        <f t="shared" si="29"/>
        <v>41866</v>
      </c>
      <c r="D324" s="184" t="s">
        <v>941</v>
      </c>
      <c r="E324" s="191">
        <v>41866</v>
      </c>
      <c r="F324" s="192" t="s">
        <v>629</v>
      </c>
      <c r="G324" s="468" t="s">
        <v>630</v>
      </c>
      <c r="H324" s="7" t="s">
        <v>470</v>
      </c>
      <c r="I324" s="256">
        <v>100</v>
      </c>
      <c r="J324" s="256">
        <v>4600</v>
      </c>
      <c r="K324" s="568">
        <f>ROUND(I324*J324,0)</f>
        <v>460000</v>
      </c>
      <c r="L324" s="569" t="s">
        <v>253</v>
      </c>
      <c r="M324" s="569" t="s">
        <v>177</v>
      </c>
      <c r="N324" s="52" t="str">
        <f>IF(AND('331-CT'!$E$7=TH!H324,OR(L324="331",M324="331")),"331",IF(AND(OR(L324="131",M324="131"),H324='131-CT'!$E$7),"131",""))</f>
        <v/>
      </c>
      <c r="O324" s="89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15"/>
      <c r="AC324" s="211" t="str">
        <f>IF(F324=VLOOKUP(F324,NXT!$C$12:$C$345,1,0),"","x")</f>
        <v/>
      </c>
    </row>
    <row r="325" spans="1:31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28"/>
        <v>8</v>
      </c>
      <c r="C325" s="184">
        <f t="shared" si="29"/>
        <v>41866</v>
      </c>
      <c r="D325" s="184" t="s">
        <v>941</v>
      </c>
      <c r="E325" s="191">
        <v>41866</v>
      </c>
      <c r="F325" s="192" t="s">
        <v>524</v>
      </c>
      <c r="G325" s="468" t="s">
        <v>630</v>
      </c>
      <c r="H325" s="7" t="s">
        <v>470</v>
      </c>
      <c r="I325" s="256">
        <v>120</v>
      </c>
      <c r="J325" s="256">
        <v>4700</v>
      </c>
      <c r="K325" s="568">
        <f>ROUND(I325*J325,0)</f>
        <v>564000</v>
      </c>
      <c r="L325" s="569" t="s">
        <v>253</v>
      </c>
      <c r="M325" s="569" t="s">
        <v>177</v>
      </c>
      <c r="N325" s="52" t="str">
        <f>IF(AND('331-CT'!$E$7=TH!H325,OR(L325="331",M325="331")),"331",IF(AND(OR(L325="131",M325="131"),H325='131-CT'!$E$7),"131",""))</f>
        <v/>
      </c>
      <c r="O325" s="89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15"/>
      <c r="AC325" s="211" t="str">
        <f>IF(F325=VLOOKUP(F325,NXT!$C$12:$C$345,1,0),"","x")</f>
        <v/>
      </c>
    </row>
    <row r="326" spans="1:31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28"/>
        <v>8</v>
      </c>
      <c r="C326" s="184">
        <f t="shared" si="29"/>
        <v>41866</v>
      </c>
      <c r="D326" s="184" t="s">
        <v>941</v>
      </c>
      <c r="E326" s="191">
        <v>41866</v>
      </c>
      <c r="F326" s="192" t="s">
        <v>631</v>
      </c>
      <c r="G326" s="468" t="s">
        <v>630</v>
      </c>
      <c r="H326" s="7" t="s">
        <v>470</v>
      </c>
      <c r="I326" s="256">
        <v>470</v>
      </c>
      <c r="J326" s="256">
        <v>3600</v>
      </c>
      <c r="K326" s="568">
        <f>ROUND(I326*J326,0)</f>
        <v>1692000</v>
      </c>
      <c r="L326" s="569" t="s">
        <v>253</v>
      </c>
      <c r="M326" s="569" t="s">
        <v>177</v>
      </c>
      <c r="N326" s="52" t="str">
        <f>IF(AND('331-CT'!$E$7=TH!H326,OR(L326="331",M326="331")),"331",IF(AND(OR(L326="131",M326="131"),H326='131-CT'!$E$7),"131",""))</f>
        <v/>
      </c>
      <c r="O326" s="89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15"/>
      <c r="AC326" s="211" t="str">
        <f>IF(F326=VLOOKUP(F326,NXT!$C$12:$C$345,1,0),"","x")</f>
        <v/>
      </c>
    </row>
    <row r="327" spans="1:31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28"/>
        <v>8</v>
      </c>
      <c r="C327" s="184">
        <f t="shared" si="29"/>
        <v>41866</v>
      </c>
      <c r="D327" s="184" t="s">
        <v>941</v>
      </c>
      <c r="E327" s="191">
        <v>41866</v>
      </c>
      <c r="F327" s="192" t="s">
        <v>632</v>
      </c>
      <c r="G327" s="468" t="s">
        <v>630</v>
      </c>
      <c r="H327" s="7" t="s">
        <v>470</v>
      </c>
      <c r="I327" s="256">
        <v>350</v>
      </c>
      <c r="J327" s="256">
        <v>3800</v>
      </c>
      <c r="K327" s="568">
        <f>ROUND(I327*J327,0)</f>
        <v>1330000</v>
      </c>
      <c r="L327" s="569" t="s">
        <v>253</v>
      </c>
      <c r="M327" s="569" t="s">
        <v>177</v>
      </c>
      <c r="N327" s="52" t="str">
        <f>IF(AND('331-CT'!$E$7=TH!H327,OR(L327="331",M327="331")),"331",IF(AND(OR(L327="131",M327="131"),H327='131-CT'!$E$7),"131",""))</f>
        <v/>
      </c>
      <c r="O327" s="89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15"/>
      <c r="AC327" s="211" t="str">
        <f>IF(F327=VLOOKUP(F327,NXT!$C$12:$C$345,1,0),"","x")</f>
        <v/>
      </c>
    </row>
    <row r="328" spans="1:31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28"/>
        <v>8</v>
      </c>
      <c r="C328" s="184">
        <f t="shared" si="29"/>
        <v>41866</v>
      </c>
      <c r="D328" s="184" t="s">
        <v>941</v>
      </c>
      <c r="E328" s="191">
        <v>41866</v>
      </c>
      <c r="F328" s="192" t="s">
        <v>633</v>
      </c>
      <c r="G328" s="468" t="s">
        <v>630</v>
      </c>
      <c r="H328" s="7" t="s">
        <v>470</v>
      </c>
      <c r="I328" s="256">
        <v>330</v>
      </c>
      <c r="J328" s="256">
        <v>5650</v>
      </c>
      <c r="K328" s="568">
        <f>ROUND(I328*J328,0)</f>
        <v>1864500</v>
      </c>
      <c r="L328" s="569" t="s">
        <v>253</v>
      </c>
      <c r="M328" s="569" t="s">
        <v>177</v>
      </c>
      <c r="N328" s="52" t="str">
        <f>IF(AND('331-CT'!$E$7=TH!H328,OR(L328="331",M328="331")),"331",IF(AND(OR(L328="131",M328="131"),H328='131-CT'!$E$7),"131",""))</f>
        <v/>
      </c>
      <c r="O328" s="89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15"/>
      <c r="AC328" s="211" t="str">
        <f>IF(F328=VLOOKUP(F328,NXT!$C$12:$C$345,1,0),"","x")</f>
        <v/>
      </c>
    </row>
    <row r="329" spans="1:31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28"/>
        <v>8</v>
      </c>
      <c r="C329" s="184">
        <f t="shared" si="29"/>
        <v>41866</v>
      </c>
      <c r="D329" s="184" t="s">
        <v>941</v>
      </c>
      <c r="E329" s="191">
        <v>41866</v>
      </c>
      <c r="F329" s="192" t="s">
        <v>421</v>
      </c>
      <c r="G329" s="468" t="s">
        <v>630</v>
      </c>
      <c r="H329" s="7" t="s">
        <v>470</v>
      </c>
      <c r="I329" s="256"/>
      <c r="J329" s="256"/>
      <c r="K329" s="568">
        <v>591050</v>
      </c>
      <c r="L329" s="569" t="s">
        <v>253</v>
      </c>
      <c r="M329" s="569" t="s">
        <v>365</v>
      </c>
      <c r="N329" s="52" t="str">
        <f>IF(AND('331-CT'!$E$7=TH!H329,OR(L329="331",M329="331")),"331",IF(AND(OR(L329="131",M329="131"),H329='131-CT'!$E$7),"131",""))</f>
        <v/>
      </c>
      <c r="O329" s="89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15"/>
      <c r="AC329" s="560" t="str">
        <f>IF(VLOOKUP(H329,DS_131,1,0)&lt;&gt;"","","x")</f>
        <v/>
      </c>
    </row>
    <row r="330" spans="1:31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8"/>
        <v>8</v>
      </c>
      <c r="C330" s="184">
        <f t="shared" si="29"/>
        <v>41866</v>
      </c>
      <c r="D330" s="184" t="s">
        <v>942</v>
      </c>
      <c r="E330" s="191">
        <v>41866</v>
      </c>
      <c r="F330" s="192" t="s">
        <v>424</v>
      </c>
      <c r="G330" s="468" t="s">
        <v>634</v>
      </c>
      <c r="H330" s="7" t="s">
        <v>426</v>
      </c>
      <c r="I330" s="256">
        <v>488</v>
      </c>
      <c r="J330" s="256">
        <v>10200</v>
      </c>
      <c r="K330" s="568">
        <f>ROUND(I330*J330,0)</f>
        <v>4977600</v>
      </c>
      <c r="L330" s="569" t="s">
        <v>253</v>
      </c>
      <c r="M330" s="569" t="s">
        <v>177</v>
      </c>
      <c r="N330" s="52" t="str">
        <f>IF(AND('331-CT'!$E$7=TH!H330,OR(L330="331",M330="331")),"331",IF(AND(OR(L330="131",M330="131"),H330='131-CT'!$E$7),"131",""))</f>
        <v>131</v>
      </c>
      <c r="O330" s="89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15"/>
      <c r="AC330" s="211" t="str">
        <f>IF(F330=VLOOKUP(F330,NXT!$C$12:$C$345,1,0),"","x")</f>
        <v/>
      </c>
    </row>
    <row r="331" spans="1:31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8"/>
        <v>8</v>
      </c>
      <c r="C331" s="184">
        <f t="shared" si="29"/>
        <v>41866</v>
      </c>
      <c r="D331" s="184" t="s">
        <v>942</v>
      </c>
      <c r="E331" s="191">
        <v>41866</v>
      </c>
      <c r="F331" s="192" t="s">
        <v>421</v>
      </c>
      <c r="G331" s="468" t="s">
        <v>634</v>
      </c>
      <c r="H331" s="7" t="s">
        <v>426</v>
      </c>
      <c r="I331" s="256"/>
      <c r="J331" s="256"/>
      <c r="K331" s="568">
        <v>497760</v>
      </c>
      <c r="L331" s="569" t="s">
        <v>253</v>
      </c>
      <c r="M331" s="569" t="s">
        <v>365</v>
      </c>
      <c r="N331" s="52" t="str">
        <f>IF(AND('331-CT'!$E$7=TH!H331,OR(L331="331",M331="331")),"331",IF(AND(OR(L331="131",M331="131"),H331='131-CT'!$E$7),"131",""))</f>
        <v>131</v>
      </c>
      <c r="O331" s="89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15"/>
      <c r="AC331" s="560" t="str">
        <f>IF(VLOOKUP(H331,DS_131,1,0)&lt;&gt;"","","x")</f>
        <v/>
      </c>
    </row>
    <row r="332" spans="1:31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8"/>
        <v>8</v>
      </c>
      <c r="C332" s="184">
        <f t="shared" si="29"/>
        <v>41869</v>
      </c>
      <c r="D332" s="184" t="s">
        <v>943</v>
      </c>
      <c r="E332" s="191">
        <v>41869</v>
      </c>
      <c r="F332" s="192" t="s">
        <v>635</v>
      </c>
      <c r="G332" s="468" t="s">
        <v>636</v>
      </c>
      <c r="H332" s="7" t="s">
        <v>909</v>
      </c>
      <c r="I332" s="256">
        <v>200</v>
      </c>
      <c r="J332" s="256">
        <v>7000</v>
      </c>
      <c r="K332" s="568">
        <f>ROUND(I332*J332,0)</f>
        <v>1400000</v>
      </c>
      <c r="L332" s="569" t="s">
        <v>253</v>
      </c>
      <c r="M332" s="569" t="s">
        <v>177</v>
      </c>
      <c r="N332" s="52" t="str">
        <f>IF(AND('331-CT'!$E$7=TH!H332,OR(L332="331",M332="331")),"331",IF(AND(OR(L332="131",M332="131"),H332='131-CT'!$E$7),"131",""))</f>
        <v/>
      </c>
      <c r="O332" s="89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15"/>
      <c r="AC332" s="211" t="str">
        <f>IF(F332=VLOOKUP(F332,NXT!$C$12:$C$345,1,0),"","x")</f>
        <v/>
      </c>
    </row>
    <row r="333" spans="1:31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8"/>
        <v>8</v>
      </c>
      <c r="C333" s="184">
        <f t="shared" si="29"/>
        <v>41869</v>
      </c>
      <c r="D333" s="184" t="s">
        <v>943</v>
      </c>
      <c r="E333" s="191">
        <v>41869</v>
      </c>
      <c r="F333" s="192" t="s">
        <v>421</v>
      </c>
      <c r="G333" s="468" t="s">
        <v>636</v>
      </c>
      <c r="H333" s="7" t="s">
        <v>909</v>
      </c>
      <c r="I333" s="256"/>
      <c r="J333" s="256"/>
      <c r="K333" s="568">
        <v>140000</v>
      </c>
      <c r="L333" s="569" t="s">
        <v>253</v>
      </c>
      <c r="M333" s="569" t="s">
        <v>365</v>
      </c>
      <c r="N333" s="52" t="str">
        <f>IF(AND('331-CT'!$E$7=TH!H333,OR(L333="331",M333="331")),"331",IF(AND(OR(L333="131",M333="131"),H333='131-CT'!$E$7),"131",""))</f>
        <v/>
      </c>
      <c r="O333" s="89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15"/>
      <c r="AC333" s="560" t="str">
        <f>IF(VLOOKUP(H333,DS_131,1,0)&lt;&gt;"","","x")</f>
        <v/>
      </c>
    </row>
    <row r="334" spans="1:31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28"/>
        <v>8</v>
      </c>
      <c r="C334" s="184">
        <f t="shared" si="29"/>
        <v>41871</v>
      </c>
      <c r="D334" s="184" t="s">
        <v>944</v>
      </c>
      <c r="E334" s="191">
        <v>41871</v>
      </c>
      <c r="F334" s="192" t="s">
        <v>587</v>
      </c>
      <c r="G334" s="468" t="s">
        <v>637</v>
      </c>
      <c r="H334" s="7" t="s">
        <v>583</v>
      </c>
      <c r="I334" s="256">
        <v>350</v>
      </c>
      <c r="J334" s="256">
        <v>9100</v>
      </c>
      <c r="K334" s="568">
        <f>ROUND(I334*J334,0)</f>
        <v>3185000</v>
      </c>
      <c r="L334" s="569" t="s">
        <v>253</v>
      </c>
      <c r="M334" s="569" t="s">
        <v>177</v>
      </c>
      <c r="N334" s="52" t="str">
        <f>IF(AND('331-CT'!$E$7=TH!H334,OR(L334="331",M334="331")),"331",IF(AND(OR(L334="131",M334="131"),H334='131-CT'!$E$7),"131",""))</f>
        <v/>
      </c>
      <c r="O334" s="89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15"/>
      <c r="AC334" s="211" t="str">
        <f>IF(F334=VLOOKUP(F334,NXT!$C$12:$C$345,1,0),"","x")</f>
        <v/>
      </c>
    </row>
    <row r="335" spans="1:31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28"/>
        <v>8</v>
      </c>
      <c r="C335" s="184">
        <f t="shared" si="29"/>
        <v>41871</v>
      </c>
      <c r="D335" s="184" t="s">
        <v>944</v>
      </c>
      <c r="E335" s="191">
        <v>41871</v>
      </c>
      <c r="F335" s="192" t="s">
        <v>421</v>
      </c>
      <c r="G335" s="468" t="s">
        <v>637</v>
      </c>
      <c r="H335" s="7" t="s">
        <v>583</v>
      </c>
      <c r="I335" s="256"/>
      <c r="J335" s="256"/>
      <c r="K335" s="568">
        <v>318500</v>
      </c>
      <c r="L335" s="569" t="s">
        <v>253</v>
      </c>
      <c r="M335" s="569" t="s">
        <v>365</v>
      </c>
      <c r="N335" s="52" t="str">
        <f>IF(AND('331-CT'!$E$7=TH!H335,OR(L335="331",M335="331")),"331",IF(AND(OR(L335="131",M335="131"),H335='131-CT'!$E$7),"131",""))</f>
        <v/>
      </c>
      <c r="O335" s="89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15"/>
      <c r="AC335" s="560" t="str">
        <f>IF(VLOOKUP(H335,DS_131,1,0)&lt;&gt;"","","x")</f>
        <v/>
      </c>
    </row>
    <row r="336" spans="1:31" s="560" customFormat="1" ht="15.75" customHeight="1">
      <c r="A336" s="204" t="str">
        <f>IF(B336&lt;&gt;"",IF(AND(B336&gt;=_TM1,B336&lt;=_TM2,OR(TH!L336="1111",TH!M336="1111")),TH!D336,""),"")</f>
        <v/>
      </c>
      <c r="B336" s="36">
        <f t="shared" si="28"/>
        <v>8</v>
      </c>
      <c r="C336" s="184">
        <f t="shared" si="29"/>
        <v>41871</v>
      </c>
      <c r="D336" s="184" t="s">
        <v>945</v>
      </c>
      <c r="E336" s="191">
        <v>41871</v>
      </c>
      <c r="F336" s="192" t="s">
        <v>638</v>
      </c>
      <c r="G336" s="468" t="s">
        <v>639</v>
      </c>
      <c r="H336" s="7" t="s">
        <v>455</v>
      </c>
      <c r="I336" s="256">
        <v>500</v>
      </c>
      <c r="J336" s="256">
        <v>13500</v>
      </c>
      <c r="K336" s="568">
        <f>ROUND(I336*J336,0)</f>
        <v>6750000</v>
      </c>
      <c r="L336" s="569" t="s">
        <v>253</v>
      </c>
      <c r="M336" s="569" t="s">
        <v>177</v>
      </c>
      <c r="N336" s="52" t="str">
        <f>IF(AND('331-CT'!$E$7=TH!H336,OR(L336="331",M336="331")),"331",IF(AND(OR(L336="131",M336="131"),H336='131-CT'!$E$7),"131",""))</f>
        <v/>
      </c>
      <c r="O336" s="89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15"/>
      <c r="AC336" s="211" t="str">
        <f>IF(F336=VLOOKUP(F336,NXT!$C$12:$C$345,1,0),"","x")</f>
        <v/>
      </c>
      <c r="AD336" s="211"/>
      <c r="AE336" s="211"/>
    </row>
    <row r="337" spans="1:31" s="560" customFormat="1" ht="15.75" customHeight="1">
      <c r="A337" s="204" t="str">
        <f>IF(B337&lt;&gt;"",IF(AND(B337&gt;=_TM1,B337&lt;=_TM2,OR(TH!L337="1111",TH!M337="1111")),TH!D337,""),"")</f>
        <v/>
      </c>
      <c r="B337" s="36">
        <f t="shared" si="28"/>
        <v>8</v>
      </c>
      <c r="C337" s="184">
        <f t="shared" si="29"/>
        <v>41871</v>
      </c>
      <c r="D337" s="184" t="s">
        <v>945</v>
      </c>
      <c r="E337" s="191">
        <v>41871</v>
      </c>
      <c r="F337" s="192" t="s">
        <v>421</v>
      </c>
      <c r="G337" s="468" t="s">
        <v>639</v>
      </c>
      <c r="H337" s="7" t="s">
        <v>455</v>
      </c>
      <c r="I337" s="256"/>
      <c r="J337" s="256"/>
      <c r="K337" s="568">
        <v>675000</v>
      </c>
      <c r="L337" s="569" t="s">
        <v>253</v>
      </c>
      <c r="M337" s="569" t="s">
        <v>365</v>
      </c>
      <c r="N337" s="52" t="str">
        <f>IF(AND('331-CT'!$E$7=TH!H337,OR(L337="331",M337="331")),"331",IF(AND(OR(L337="131",M337="131"),H337='131-CT'!$E$7),"131",""))</f>
        <v/>
      </c>
      <c r="O337" s="89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15"/>
      <c r="AC337" s="560" t="str">
        <f>IF(VLOOKUP(H337,DS_131,1,0)&lt;&gt;"","","x")</f>
        <v/>
      </c>
      <c r="AD337" s="211"/>
      <c r="AE337" s="211"/>
    </row>
    <row r="338" spans="1:31" s="560" customFormat="1" ht="15.75" customHeight="1">
      <c r="A338" s="204" t="str">
        <f>IF(B338&lt;&gt;"",IF(AND(B338&gt;=_TM1,B338&lt;=_TM2,OR(TH!L338="1111",TH!M338="1111")),TH!D338,""),"")</f>
        <v/>
      </c>
      <c r="B338" s="36">
        <f t="shared" si="28"/>
        <v>8</v>
      </c>
      <c r="C338" s="184">
        <f t="shared" si="29"/>
        <v>41871</v>
      </c>
      <c r="D338" s="184" t="s">
        <v>946</v>
      </c>
      <c r="E338" s="191">
        <v>41871</v>
      </c>
      <c r="F338" s="192" t="s">
        <v>640</v>
      </c>
      <c r="G338" s="468" t="s">
        <v>641</v>
      </c>
      <c r="H338" s="7" t="s">
        <v>642</v>
      </c>
      <c r="I338" s="256">
        <v>550</v>
      </c>
      <c r="J338" s="256">
        <v>4800</v>
      </c>
      <c r="K338" s="568">
        <f>ROUND(I338*J338,0)</f>
        <v>2640000</v>
      </c>
      <c r="L338" s="569" t="s">
        <v>253</v>
      </c>
      <c r="M338" s="569" t="s">
        <v>177</v>
      </c>
      <c r="N338" s="52" t="str">
        <f>IF(AND('331-CT'!$E$7=TH!H338,OR(L338="331",M338="331")),"331",IF(AND(OR(L338="131",M338="131"),H338='131-CT'!$E$7),"131",""))</f>
        <v/>
      </c>
      <c r="O338" s="89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15"/>
      <c r="AC338" s="211" t="str">
        <f>IF(F338=VLOOKUP(F338,NXT!$C$12:$C$345,1,0),"","x")</f>
        <v/>
      </c>
      <c r="AD338" s="211"/>
      <c r="AE338" s="211"/>
    </row>
    <row r="339" spans="1:31" s="560" customFormat="1" ht="15.75" customHeight="1">
      <c r="A339" s="204" t="str">
        <f>IF(B339&lt;&gt;"",IF(AND(B339&gt;=_TM1,B339&lt;=_TM2,OR(TH!L339="1111",TH!M339="1111")),TH!D339,""),"")</f>
        <v/>
      </c>
      <c r="B339" s="36">
        <f t="shared" si="28"/>
        <v>8</v>
      </c>
      <c r="C339" s="184">
        <f t="shared" si="29"/>
        <v>41871</v>
      </c>
      <c r="D339" s="184" t="s">
        <v>946</v>
      </c>
      <c r="E339" s="191">
        <v>41871</v>
      </c>
      <c r="F339" s="192" t="s">
        <v>421</v>
      </c>
      <c r="G339" s="468" t="s">
        <v>641</v>
      </c>
      <c r="H339" s="7" t="s">
        <v>642</v>
      </c>
      <c r="I339" s="256"/>
      <c r="J339" s="256"/>
      <c r="K339" s="568">
        <v>264000</v>
      </c>
      <c r="L339" s="569" t="s">
        <v>253</v>
      </c>
      <c r="M339" s="569" t="s">
        <v>365</v>
      </c>
      <c r="N339" s="52" t="str">
        <f>IF(AND('331-CT'!$E$7=TH!H339,OR(L339="331",M339="331")),"331",IF(AND(OR(L339="131",M339="131"),H339='131-CT'!$E$7),"131",""))</f>
        <v/>
      </c>
      <c r="O339" s="89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15"/>
      <c r="AC339" s="560" t="str">
        <f>IF(VLOOKUP(H339,DS_131,1,0)&lt;&gt;"","","x")</f>
        <v/>
      </c>
      <c r="AD339" s="211"/>
      <c r="AE339" s="211"/>
    </row>
    <row r="340" spans="1:31" s="560" customFormat="1" ht="15.75" customHeight="1">
      <c r="A340" s="204" t="str">
        <f>IF(B340&lt;&gt;"",IF(AND(B340&gt;=_TM1,B340&lt;=_TM2,OR(TH!L340="1111",TH!M340="1111")),TH!D340,""),"")</f>
        <v/>
      </c>
      <c r="B340" s="36">
        <f t="shared" si="28"/>
        <v>8</v>
      </c>
      <c r="C340" s="184">
        <f t="shared" si="29"/>
        <v>41872</v>
      </c>
      <c r="D340" s="184" t="s">
        <v>947</v>
      </c>
      <c r="E340" s="191">
        <v>41872</v>
      </c>
      <c r="F340" s="192" t="s">
        <v>484</v>
      </c>
      <c r="G340" s="468" t="s">
        <v>643</v>
      </c>
      <c r="H340" s="7" t="s">
        <v>909</v>
      </c>
      <c r="I340" s="256">
        <v>196</v>
      </c>
      <c r="J340" s="256">
        <v>12900</v>
      </c>
      <c r="K340" s="568">
        <f>ROUND(I340*J340,0)</f>
        <v>2528400</v>
      </c>
      <c r="L340" s="569" t="s">
        <v>253</v>
      </c>
      <c r="M340" s="569" t="s">
        <v>177</v>
      </c>
      <c r="N340" s="52" t="str">
        <f>IF(AND('331-CT'!$E$7=TH!H340,OR(L340="331",M340="331")),"331",IF(AND(OR(L340="131",M340="131"),H340='131-CT'!$E$7),"131",""))</f>
        <v/>
      </c>
      <c r="O340" s="89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15"/>
      <c r="AC340" s="211" t="str">
        <f>IF(F340=VLOOKUP(F340,NXT!$C$12:$C$345,1,0),"","x")</f>
        <v/>
      </c>
      <c r="AD340" s="211"/>
      <c r="AE340" s="211"/>
    </row>
    <row r="341" spans="1:31" s="560" customFormat="1" ht="15.75" customHeight="1">
      <c r="A341" s="204" t="str">
        <f>IF(B341&lt;&gt;"",IF(AND(B341&gt;=_TM1,B341&lt;=_TM2,OR(TH!L341="1111",TH!M341="1111")),TH!D341,""),"")</f>
        <v/>
      </c>
      <c r="B341" s="36">
        <f t="shared" si="28"/>
        <v>8</v>
      </c>
      <c r="C341" s="184">
        <f t="shared" si="29"/>
        <v>41872</v>
      </c>
      <c r="D341" s="184" t="s">
        <v>947</v>
      </c>
      <c r="E341" s="191">
        <v>41872</v>
      </c>
      <c r="F341" s="192" t="s">
        <v>569</v>
      </c>
      <c r="G341" s="468" t="s">
        <v>643</v>
      </c>
      <c r="H341" s="7" t="s">
        <v>909</v>
      </c>
      <c r="I341" s="256">
        <v>200</v>
      </c>
      <c r="J341" s="256">
        <v>9800</v>
      </c>
      <c r="K341" s="568">
        <f>ROUND(I341*J341,0)</f>
        <v>1960000</v>
      </c>
      <c r="L341" s="569" t="s">
        <v>253</v>
      </c>
      <c r="M341" s="569" t="s">
        <v>177</v>
      </c>
      <c r="N341" s="52" t="str">
        <f>IF(AND('331-CT'!$E$7=TH!H341,OR(L341="331",M341="331")),"331",IF(AND(OR(L341="131",M341="131"),H341='131-CT'!$E$7),"131",""))</f>
        <v/>
      </c>
      <c r="O341" s="89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15"/>
      <c r="AC341" s="211" t="str">
        <f>IF(F341=VLOOKUP(F341,NXT!$C$12:$C$345,1,0),"","x")</f>
        <v/>
      </c>
      <c r="AD341" s="211"/>
      <c r="AE341" s="211"/>
    </row>
    <row r="342" spans="1:31" s="560" customFormat="1" ht="15.75" customHeight="1">
      <c r="A342" s="204" t="str">
        <f>IF(B342&lt;&gt;"",IF(AND(B342&gt;=_TM1,B342&lt;=_TM2,OR(TH!L342="1111",TH!M342="1111")),TH!D342,""),"")</f>
        <v/>
      </c>
      <c r="B342" s="36">
        <f t="shared" si="28"/>
        <v>8</v>
      </c>
      <c r="C342" s="184">
        <f t="shared" si="29"/>
        <v>41872</v>
      </c>
      <c r="D342" s="184" t="s">
        <v>947</v>
      </c>
      <c r="E342" s="184">
        <v>41872</v>
      </c>
      <c r="F342" s="189" t="s">
        <v>421</v>
      </c>
      <c r="G342" s="570" t="s">
        <v>643</v>
      </c>
      <c r="H342" s="7" t="s">
        <v>909</v>
      </c>
      <c r="I342" s="256"/>
      <c r="J342" s="256"/>
      <c r="K342" s="568">
        <v>448840</v>
      </c>
      <c r="L342" s="569" t="s">
        <v>253</v>
      </c>
      <c r="M342" s="569" t="s">
        <v>365</v>
      </c>
      <c r="N342" s="52" t="str">
        <f>IF(AND('331-CT'!$E$7=TH!H342,OR(L342="331",M342="331")),"331",IF(AND(OR(L342="131",M342="131"),H342='131-CT'!$E$7),"131",""))</f>
        <v/>
      </c>
      <c r="O342" s="89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15"/>
      <c r="AC342" s="560" t="str">
        <f>IF(VLOOKUP(H342,DS_131,1,0)&lt;&gt;"","","x")</f>
        <v/>
      </c>
      <c r="AD342" s="211"/>
      <c r="AE342" s="211"/>
    </row>
    <row r="343" spans="1:31" s="560" customFormat="1" ht="15.75" customHeight="1">
      <c r="A343" s="204" t="str">
        <f>IF(B343&lt;&gt;"",IF(AND(B343&gt;=_TM1,B343&lt;=_TM2,OR(TH!L343="1111",TH!M343="1111")),TH!D343,""),"")</f>
        <v/>
      </c>
      <c r="B343" s="36">
        <f t="shared" si="28"/>
        <v>8</v>
      </c>
      <c r="C343" s="184">
        <f t="shared" si="29"/>
        <v>41873</v>
      </c>
      <c r="D343" s="184" t="s">
        <v>948</v>
      </c>
      <c r="E343" s="184">
        <v>41873</v>
      </c>
      <c r="F343" s="189" t="s">
        <v>467</v>
      </c>
      <c r="G343" s="570" t="s">
        <v>644</v>
      </c>
      <c r="H343" s="7" t="s">
        <v>910</v>
      </c>
      <c r="I343" s="256">
        <v>1480</v>
      </c>
      <c r="J343" s="256">
        <v>4650</v>
      </c>
      <c r="K343" s="568">
        <f>ROUND(I343*J343,0)</f>
        <v>6882000</v>
      </c>
      <c r="L343" s="569" t="s">
        <v>253</v>
      </c>
      <c r="M343" s="569" t="s">
        <v>177</v>
      </c>
      <c r="N343" s="52" t="str">
        <f>IF(AND('331-CT'!$E$7=TH!H343,OR(L343="331",M343="331")),"331",IF(AND(OR(L343="131",M343="131"),H343='131-CT'!$E$7),"131",""))</f>
        <v/>
      </c>
      <c r="O343" s="89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15"/>
      <c r="AC343" s="211" t="str">
        <f>IF(F343=VLOOKUP(F343,NXT!$C$12:$C$345,1,0),"","x")</f>
        <v/>
      </c>
      <c r="AD343" s="211"/>
      <c r="AE343" s="211"/>
    </row>
    <row r="344" spans="1:31" s="560" customFormat="1" ht="15.75" customHeight="1">
      <c r="A344" s="204" t="str">
        <f>IF(B344&lt;&gt;"",IF(AND(B344&gt;=_TM1,B344&lt;=_TM2,OR(TH!L344="1111",TH!M344="1111")),TH!D344,""),"")</f>
        <v/>
      </c>
      <c r="B344" s="36">
        <f t="shared" si="28"/>
        <v>8</v>
      </c>
      <c r="C344" s="184">
        <f t="shared" si="29"/>
        <v>41873</v>
      </c>
      <c r="D344" s="184" t="s">
        <v>948</v>
      </c>
      <c r="E344" s="184">
        <v>41873</v>
      </c>
      <c r="F344" s="189" t="s">
        <v>421</v>
      </c>
      <c r="G344" s="570" t="s">
        <v>644</v>
      </c>
      <c r="H344" s="7" t="s">
        <v>910</v>
      </c>
      <c r="I344" s="256"/>
      <c r="J344" s="256"/>
      <c r="K344" s="568">
        <v>688200</v>
      </c>
      <c r="L344" s="569" t="s">
        <v>253</v>
      </c>
      <c r="M344" s="569" t="s">
        <v>365</v>
      </c>
      <c r="N344" s="52" t="str">
        <f>IF(AND('331-CT'!$E$7=TH!H344,OR(L344="331",M344="331")),"331",IF(AND(OR(L344="131",M344="131"),H344='131-CT'!$E$7),"131",""))</f>
        <v/>
      </c>
      <c r="O344" s="89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15"/>
      <c r="AC344" s="560" t="str">
        <f>IF(VLOOKUP(H344,DS_131,1,0)&lt;&gt;"","","x")</f>
        <v/>
      </c>
      <c r="AD344" s="211"/>
      <c r="AE344" s="211"/>
    </row>
    <row r="345" spans="1:31" s="560" customFormat="1" ht="15.75" customHeight="1">
      <c r="A345" s="204" t="str">
        <f>IF(B345&lt;&gt;"",IF(AND(B345&gt;=_TM1,B345&lt;=_TM2,OR(TH!L345="1111",TH!M345="1111")),TH!D345,""),"")</f>
        <v/>
      </c>
      <c r="B345" s="36">
        <f t="shared" si="28"/>
        <v>8</v>
      </c>
      <c r="C345" s="184">
        <f t="shared" si="29"/>
        <v>41873</v>
      </c>
      <c r="D345" s="184" t="s">
        <v>949</v>
      </c>
      <c r="E345" s="184">
        <v>41873</v>
      </c>
      <c r="F345" s="189" t="s">
        <v>645</v>
      </c>
      <c r="G345" s="570" t="s">
        <v>646</v>
      </c>
      <c r="H345" s="7" t="s">
        <v>647</v>
      </c>
      <c r="I345" s="256">
        <v>498</v>
      </c>
      <c r="J345" s="256">
        <v>26979</v>
      </c>
      <c r="K345" s="568">
        <f t="shared" ref="K345:K350" si="30">ROUND(I345*J345,0)</f>
        <v>13435542</v>
      </c>
      <c r="L345" s="569" t="s">
        <v>253</v>
      </c>
      <c r="M345" s="569" t="s">
        <v>177</v>
      </c>
      <c r="N345" s="52" t="str">
        <f>IF(AND('331-CT'!$E$7=TH!H345,OR(L345="331",M345="331")),"331",IF(AND(OR(L345="131",M345="131"),H345='131-CT'!$E$7),"131",""))</f>
        <v/>
      </c>
      <c r="O345" s="89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15"/>
      <c r="AC345" s="211" t="str">
        <f>IF(F345=VLOOKUP(F345,NXT!$C$12:$C$345,1,0),"","x")</f>
        <v/>
      </c>
      <c r="AD345" s="211"/>
      <c r="AE345" s="211"/>
    </row>
    <row r="346" spans="1:31" s="560" customFormat="1" ht="15.75" customHeight="1">
      <c r="A346" s="204" t="str">
        <f>IF(B346&lt;&gt;"",IF(AND(B346&gt;=_TM1,B346&lt;=_TM2,OR(TH!L346="1111",TH!M346="1111")),TH!D346,""),"")</f>
        <v/>
      </c>
      <c r="B346" s="36">
        <f t="shared" si="28"/>
        <v>8</v>
      </c>
      <c r="C346" s="184">
        <f t="shared" si="29"/>
        <v>41873</v>
      </c>
      <c r="D346" s="184" t="s">
        <v>949</v>
      </c>
      <c r="E346" s="184">
        <v>41873</v>
      </c>
      <c r="F346" s="296" t="s">
        <v>648</v>
      </c>
      <c r="G346" s="468" t="s">
        <v>646</v>
      </c>
      <c r="H346" s="7" t="s">
        <v>647</v>
      </c>
      <c r="I346" s="256">
        <v>690</v>
      </c>
      <c r="J346" s="256">
        <v>26002</v>
      </c>
      <c r="K346" s="568">
        <f t="shared" si="30"/>
        <v>17941380</v>
      </c>
      <c r="L346" s="569" t="s">
        <v>253</v>
      </c>
      <c r="M346" s="569" t="s">
        <v>177</v>
      </c>
      <c r="N346" s="52" t="str">
        <f>IF(AND('331-CT'!$E$7=TH!H346,OR(L346="331",M346="331")),"331",IF(AND(OR(L346="131",M346="131"),H346='131-CT'!$E$7),"131",""))</f>
        <v/>
      </c>
      <c r="O346" s="89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15"/>
      <c r="AC346" s="211" t="str">
        <f>IF(F346=VLOOKUP(F346,NXT!$C$12:$C$345,1,0),"","x")</f>
        <v/>
      </c>
      <c r="AD346" s="211"/>
      <c r="AE346" s="211"/>
    </row>
    <row r="347" spans="1:31" s="560" customFormat="1" ht="15.75" customHeight="1">
      <c r="A347" s="204" t="str">
        <f>IF(B347&lt;&gt;"",IF(AND(B347&gt;=_TM1,B347&lt;=_TM2,OR(TH!L347="1111",TH!M347="1111")),TH!D347,""),"")</f>
        <v/>
      </c>
      <c r="B347" s="36">
        <f t="shared" si="28"/>
        <v>8</v>
      </c>
      <c r="C347" s="184">
        <f t="shared" si="29"/>
        <v>41873</v>
      </c>
      <c r="D347" s="184" t="s">
        <v>949</v>
      </c>
      <c r="E347" s="184">
        <v>41873</v>
      </c>
      <c r="F347" s="189" t="s">
        <v>648</v>
      </c>
      <c r="G347" s="468" t="s">
        <v>646</v>
      </c>
      <c r="H347" s="7" t="s">
        <v>647</v>
      </c>
      <c r="I347" s="257">
        <v>130</v>
      </c>
      <c r="J347" s="257">
        <v>26002</v>
      </c>
      <c r="K347" s="568">
        <f t="shared" si="30"/>
        <v>3380260</v>
      </c>
      <c r="L347" s="569" t="s">
        <v>253</v>
      </c>
      <c r="M347" s="569" t="s">
        <v>177</v>
      </c>
      <c r="N347" s="52" t="str">
        <f>IF(AND('331-CT'!$E$7=TH!H347,OR(L347="331",M347="331")),"331",IF(AND(OR(L347="131",M347="131"),H347='131-CT'!$E$7),"131",""))</f>
        <v/>
      </c>
      <c r="O347" s="89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15"/>
      <c r="AC347" s="211" t="str">
        <f>IF(F347=VLOOKUP(F347,NXT!$C$12:$C$345,1,0),"","x")</f>
        <v/>
      </c>
      <c r="AD347" s="211"/>
      <c r="AE347" s="211"/>
    </row>
    <row r="348" spans="1:31" s="560" customFormat="1" ht="15.75" customHeight="1">
      <c r="A348" s="204" t="str">
        <f>IF(B348&lt;&gt;"",IF(AND(B348&gt;=_TM1,B348&lt;=_TM2,OR(TH!L348="1111",TH!M348="1111")),TH!D348,""),"")</f>
        <v/>
      </c>
      <c r="B348" s="36">
        <f t="shared" si="28"/>
        <v>8</v>
      </c>
      <c r="C348" s="184">
        <f t="shared" si="29"/>
        <v>41873</v>
      </c>
      <c r="D348" s="184" t="s">
        <v>949</v>
      </c>
      <c r="E348" s="184">
        <v>41873</v>
      </c>
      <c r="F348" s="189" t="s">
        <v>649</v>
      </c>
      <c r="G348" s="468" t="s">
        <v>646</v>
      </c>
      <c r="H348" s="7" t="s">
        <v>647</v>
      </c>
      <c r="I348" s="256">
        <v>1000</v>
      </c>
      <c r="J348" s="256">
        <v>16133</v>
      </c>
      <c r="K348" s="568">
        <f t="shared" si="30"/>
        <v>16133000</v>
      </c>
      <c r="L348" s="569" t="s">
        <v>253</v>
      </c>
      <c r="M348" s="569" t="s">
        <v>177</v>
      </c>
      <c r="N348" s="52" t="str">
        <f>IF(AND('331-CT'!$E$7=TH!H348,OR(L348="331",M348="331")),"331",IF(AND(OR(L348="131",M348="131"),H348='131-CT'!$E$7),"131",""))</f>
        <v/>
      </c>
      <c r="O348" s="89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15"/>
      <c r="AC348" s="211" t="str">
        <f>IF(F348=VLOOKUP(F348,NXT!$C$12:$C$345,1,0),"","x")</f>
        <v/>
      </c>
      <c r="AD348" s="211"/>
      <c r="AE348" s="211"/>
    </row>
    <row r="349" spans="1:31" s="560" customFormat="1" ht="15.75" customHeight="1">
      <c r="A349" s="204" t="str">
        <f>IF(B349&lt;&gt;"",IF(AND(B349&gt;=_TM1,B349&lt;=_TM2,OR(TH!L349="1111",TH!M349="1111")),TH!D349,""),"")</f>
        <v/>
      </c>
      <c r="B349" s="36">
        <f t="shared" si="28"/>
        <v>8</v>
      </c>
      <c r="C349" s="184">
        <f t="shared" si="29"/>
        <v>41873</v>
      </c>
      <c r="D349" s="184" t="s">
        <v>949</v>
      </c>
      <c r="E349" s="184">
        <v>41873</v>
      </c>
      <c r="F349" s="296" t="s">
        <v>650</v>
      </c>
      <c r="G349" s="468" t="s">
        <v>646</v>
      </c>
      <c r="H349" s="7" t="s">
        <v>647</v>
      </c>
      <c r="I349" s="256">
        <v>425</v>
      </c>
      <c r="J349" s="256">
        <v>26129</v>
      </c>
      <c r="K349" s="568">
        <f t="shared" si="30"/>
        <v>11104825</v>
      </c>
      <c r="L349" s="569" t="s">
        <v>253</v>
      </c>
      <c r="M349" s="569" t="s">
        <v>177</v>
      </c>
      <c r="N349" s="52" t="str">
        <f>IF(AND('331-CT'!$E$7=TH!H349,OR(L349="331",M349="331")),"331",IF(AND(OR(L349="131",M349="131"),H349='131-CT'!$E$7),"131",""))</f>
        <v/>
      </c>
      <c r="O349" s="89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15"/>
      <c r="AC349" s="211" t="str">
        <f>IF(F349=VLOOKUP(F349,NXT!$C$12:$C$345,1,0),"","x")</f>
        <v/>
      </c>
      <c r="AD349" s="211"/>
      <c r="AE349" s="211"/>
    </row>
    <row r="350" spans="1:31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8"/>
        <v>8</v>
      </c>
      <c r="C350" s="184">
        <f t="shared" si="29"/>
        <v>41873</v>
      </c>
      <c r="D350" s="184" t="s">
        <v>949</v>
      </c>
      <c r="E350" s="191">
        <v>41873</v>
      </c>
      <c r="F350" s="443" t="s">
        <v>650</v>
      </c>
      <c r="G350" s="468" t="s">
        <v>646</v>
      </c>
      <c r="H350" s="7" t="s">
        <v>647</v>
      </c>
      <c r="I350" s="256">
        <v>322</v>
      </c>
      <c r="J350" s="256">
        <v>26129</v>
      </c>
      <c r="K350" s="568">
        <f t="shared" si="30"/>
        <v>8413538</v>
      </c>
      <c r="L350" s="569" t="s">
        <v>253</v>
      </c>
      <c r="M350" s="569" t="s">
        <v>177</v>
      </c>
      <c r="N350" s="52" t="str">
        <f>IF(AND('331-CT'!$E$7=TH!H350,OR(L350="331",M350="331")),"331",IF(AND(OR(L350="131",M350="131"),H350='131-CT'!$E$7),"131",""))</f>
        <v/>
      </c>
      <c r="O350" s="89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15"/>
      <c r="AC350" s="211" t="str">
        <f>IF(F350=VLOOKUP(F350,NXT!$C$12:$C$345,1,0),"","x")</f>
        <v/>
      </c>
    </row>
    <row r="351" spans="1:31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28"/>
        <v>8</v>
      </c>
      <c r="C351" s="184">
        <f t="shared" si="29"/>
        <v>41873</v>
      </c>
      <c r="D351" s="184" t="s">
        <v>949</v>
      </c>
      <c r="E351" s="191">
        <v>41873</v>
      </c>
      <c r="F351" s="192" t="s">
        <v>651</v>
      </c>
      <c r="G351" s="468" t="s">
        <v>646</v>
      </c>
      <c r="H351" s="7" t="s">
        <v>647</v>
      </c>
      <c r="I351" s="256"/>
      <c r="J351" s="256"/>
      <c r="K351" s="568">
        <v>7040855</v>
      </c>
      <c r="L351" s="569" t="s">
        <v>253</v>
      </c>
      <c r="M351" s="569" t="s">
        <v>365</v>
      </c>
      <c r="N351" s="52" t="str">
        <f>IF(AND('331-CT'!$E$7=TH!H351,OR(L351="331",M351="331")),"331",IF(AND(OR(L351="131",M351="131"),H351='131-CT'!$E$7),"131",""))</f>
        <v/>
      </c>
      <c r="O351" s="89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15"/>
      <c r="AC351" s="560" t="str">
        <f>IF(VLOOKUP(H351,DS_131,1,0)&lt;&gt;"","","x")</f>
        <v/>
      </c>
    </row>
    <row r="352" spans="1:31" s="560" customFormat="1" ht="15.75" customHeight="1">
      <c r="A352" s="204" t="str">
        <f>IF(B352&lt;&gt;"",IF(AND(B352&gt;=_TM1,B352&lt;=_TM2,OR(TH!L352="1111",TH!M352="1111")),TH!D352,""),"")</f>
        <v/>
      </c>
      <c r="B352" s="36">
        <f t="shared" si="28"/>
        <v>8</v>
      </c>
      <c r="C352" s="184">
        <f t="shared" si="29"/>
        <v>41876</v>
      </c>
      <c r="D352" s="184" t="s">
        <v>950</v>
      </c>
      <c r="E352" s="191">
        <v>41876</v>
      </c>
      <c r="F352" s="189" t="s">
        <v>1211</v>
      </c>
      <c r="G352" s="468" t="s">
        <v>652</v>
      </c>
      <c r="H352" s="7" t="s">
        <v>908</v>
      </c>
      <c r="I352" s="256">
        <v>600</v>
      </c>
      <c r="J352" s="256">
        <v>14300</v>
      </c>
      <c r="K352" s="568">
        <f>ROUND(I352*J352,0)</f>
        <v>8580000</v>
      </c>
      <c r="L352" s="569" t="s">
        <v>253</v>
      </c>
      <c r="M352" s="569" t="s">
        <v>177</v>
      </c>
      <c r="N352" s="52" t="str">
        <f>IF(AND('331-CT'!$E$7=TH!H352,OR(L352="331",M352="331")),"331",IF(AND(OR(L352="131",M352="131"),H352='131-CT'!$E$7),"131",""))</f>
        <v/>
      </c>
      <c r="O352" s="89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15"/>
      <c r="AC352" s="211" t="str">
        <f>IF(F352=VLOOKUP(F352,NXT!$C$12:$C$345,1,0),"","x")</f>
        <v/>
      </c>
      <c r="AD352" s="211"/>
      <c r="AE352" s="211"/>
    </row>
    <row r="353" spans="1:31" s="560" customFormat="1" ht="15.75" customHeight="1">
      <c r="A353" s="204" t="str">
        <f>IF(B353&lt;&gt;"",IF(AND(B353&gt;=_TM1,B353&lt;=_TM2,OR(TH!L353="1111",TH!M353="1111")),TH!D353,""),"")</f>
        <v/>
      </c>
      <c r="B353" s="36">
        <f t="shared" si="28"/>
        <v>8</v>
      </c>
      <c r="C353" s="184">
        <f t="shared" si="29"/>
        <v>41876</v>
      </c>
      <c r="D353" s="184" t="s">
        <v>950</v>
      </c>
      <c r="E353" s="191">
        <v>41876</v>
      </c>
      <c r="F353" s="40" t="s">
        <v>446</v>
      </c>
      <c r="G353" s="468" t="s">
        <v>652</v>
      </c>
      <c r="H353" s="7" t="s">
        <v>908</v>
      </c>
      <c r="I353" s="256">
        <v>1200</v>
      </c>
      <c r="J353" s="256">
        <v>1500</v>
      </c>
      <c r="K353" s="568">
        <f>ROUND(I353*J353,0)</f>
        <v>1800000</v>
      </c>
      <c r="L353" s="569" t="s">
        <v>253</v>
      </c>
      <c r="M353" s="569" t="s">
        <v>177</v>
      </c>
      <c r="N353" s="52" t="str">
        <f>IF(AND('331-CT'!$E$7=TH!H353,OR(L353="331",M353="331")),"331",IF(AND(OR(L353="131",M353="131"),H353='131-CT'!$E$7),"131",""))</f>
        <v/>
      </c>
      <c r="O353" s="89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15"/>
      <c r="AC353" s="211" t="str">
        <f>IF(F353=VLOOKUP(F353,NXT!$C$12:$C$345,1,0),"","x")</f>
        <v/>
      </c>
      <c r="AD353" s="211"/>
      <c r="AE353" s="211"/>
    </row>
    <row r="354" spans="1:31" s="560" customFormat="1" ht="15.75" customHeight="1">
      <c r="A354" s="204" t="str">
        <f>IF(B354&lt;&gt;"",IF(AND(B354&gt;=_TM1,B354&lt;=_TM2,OR(TH!L354="1111",TH!M354="1111")),TH!D354,""),"")</f>
        <v/>
      </c>
      <c r="B354" s="36">
        <f t="shared" si="28"/>
        <v>8</v>
      </c>
      <c r="C354" s="184">
        <f t="shared" si="29"/>
        <v>41876</v>
      </c>
      <c r="D354" s="184" t="s">
        <v>950</v>
      </c>
      <c r="E354" s="191">
        <v>41876</v>
      </c>
      <c r="F354" s="192" t="s">
        <v>421</v>
      </c>
      <c r="G354" s="468" t="s">
        <v>652</v>
      </c>
      <c r="H354" s="7" t="s">
        <v>908</v>
      </c>
      <c r="I354" s="256"/>
      <c r="J354" s="256"/>
      <c r="K354" s="568">
        <v>1038000</v>
      </c>
      <c r="L354" s="569" t="s">
        <v>253</v>
      </c>
      <c r="M354" s="569" t="s">
        <v>365</v>
      </c>
      <c r="N354" s="52" t="str">
        <f>IF(AND('331-CT'!$E$7=TH!H354,OR(L354="331",M354="331")),"331",IF(AND(OR(L354="131",M354="131"),H354='131-CT'!$E$7),"131",""))</f>
        <v/>
      </c>
      <c r="O354" s="89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15"/>
      <c r="AC354" s="560" t="str">
        <f>IF(VLOOKUP(H354,DS_131,1,0)&lt;&gt;"","","x")</f>
        <v/>
      </c>
      <c r="AD354" s="211"/>
      <c r="AE354" s="211"/>
    </row>
    <row r="355" spans="1:31" s="560" customFormat="1" ht="15.75" customHeight="1">
      <c r="A355" s="204" t="str">
        <f>IF(B355&lt;&gt;"",IF(AND(B355&gt;=_TM1,B355&lt;=_TM2,OR(TH!L355="1111",TH!M355="1111")),TH!D355,""),"")</f>
        <v/>
      </c>
      <c r="B355" s="36">
        <f t="shared" si="28"/>
        <v>8</v>
      </c>
      <c r="C355" s="184">
        <f t="shared" si="29"/>
        <v>41876</v>
      </c>
      <c r="D355" s="184" t="s">
        <v>951</v>
      </c>
      <c r="E355" s="191">
        <v>41876</v>
      </c>
      <c r="F355" s="192" t="s">
        <v>653</v>
      </c>
      <c r="G355" s="468" t="s">
        <v>654</v>
      </c>
      <c r="H355" s="7" t="s">
        <v>655</v>
      </c>
      <c r="I355" s="256">
        <v>8160</v>
      </c>
      <c r="J355" s="256">
        <v>7400</v>
      </c>
      <c r="K355" s="568">
        <f>ROUND(I355*J355,0)</f>
        <v>60384000</v>
      </c>
      <c r="L355" s="569" t="s">
        <v>253</v>
      </c>
      <c r="M355" s="569" t="s">
        <v>177</v>
      </c>
      <c r="N355" s="52" t="str">
        <f>IF(AND('331-CT'!$E$7=TH!H355,OR(L355="331",M355="331")),"331",IF(AND(OR(L355="131",M355="131"),H355='131-CT'!$E$7),"131",""))</f>
        <v/>
      </c>
      <c r="O355" s="89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15"/>
      <c r="AC355" s="211" t="str">
        <f>IF(F355=VLOOKUP(F355,NXT!$C$12:$C$345,1,0),"","x")</f>
        <v/>
      </c>
      <c r="AD355" s="211"/>
      <c r="AE355" s="211"/>
    </row>
    <row r="356" spans="1:31" s="560" customFormat="1" ht="15.75" customHeight="1">
      <c r="A356" s="204" t="str">
        <f>IF(B356&lt;&gt;"",IF(AND(B356&gt;=_TM1,B356&lt;=_TM2,OR(TH!L356="1111",TH!M356="1111")),TH!D356,""),"")</f>
        <v/>
      </c>
      <c r="B356" s="36">
        <f t="shared" si="28"/>
        <v>8</v>
      </c>
      <c r="C356" s="184">
        <f t="shared" si="29"/>
        <v>41876</v>
      </c>
      <c r="D356" s="184" t="s">
        <v>951</v>
      </c>
      <c r="E356" s="191">
        <v>41876</v>
      </c>
      <c r="F356" s="192" t="s">
        <v>421</v>
      </c>
      <c r="G356" s="468" t="s">
        <v>654</v>
      </c>
      <c r="H356" s="7" t="s">
        <v>655</v>
      </c>
      <c r="I356" s="256"/>
      <c r="J356" s="256"/>
      <c r="K356" s="568">
        <v>6038400</v>
      </c>
      <c r="L356" s="569" t="s">
        <v>253</v>
      </c>
      <c r="M356" s="569" t="s">
        <v>365</v>
      </c>
      <c r="N356" s="52" t="str">
        <f>IF(AND('331-CT'!$E$7=TH!H356,OR(L356="331",M356="331")),"331",IF(AND(OR(L356="131",M356="131"),H356='131-CT'!$E$7),"131",""))</f>
        <v/>
      </c>
      <c r="O356" s="89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15"/>
      <c r="AC356" s="560" t="str">
        <f>IF(VLOOKUP(H356,DS_131,1,0)&lt;&gt;"","","x")</f>
        <v/>
      </c>
      <c r="AD356" s="211"/>
      <c r="AE356" s="211"/>
    </row>
    <row r="357" spans="1:31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28"/>
        <v>8</v>
      </c>
      <c r="C357" s="184">
        <f t="shared" si="29"/>
        <v>41876</v>
      </c>
      <c r="D357" s="184" t="s">
        <v>952</v>
      </c>
      <c r="E357" s="191">
        <v>41876</v>
      </c>
      <c r="F357" s="192" t="s">
        <v>656</v>
      </c>
      <c r="G357" s="468" t="s">
        <v>657</v>
      </c>
      <c r="H357" s="7" t="s">
        <v>603</v>
      </c>
      <c r="I357" s="256">
        <v>626</v>
      </c>
      <c r="J357" s="256">
        <v>14300</v>
      </c>
      <c r="K357" s="568">
        <f>ROUND(I357*J357,0)</f>
        <v>8951800</v>
      </c>
      <c r="L357" s="569" t="s">
        <v>253</v>
      </c>
      <c r="M357" s="569" t="s">
        <v>177</v>
      </c>
      <c r="N357" s="52" t="str">
        <f>IF(AND('331-CT'!$E$7=TH!H357,OR(L357="331",M357="331")),"331",IF(AND(OR(L357="131",M357="131"),H357='131-CT'!$E$7),"131",""))</f>
        <v/>
      </c>
      <c r="O357" s="89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15"/>
      <c r="AC357" s="211" t="str">
        <f>IF(F357=VLOOKUP(F357,NXT!$C$12:$C$345,1,0),"","x")</f>
        <v/>
      </c>
    </row>
    <row r="358" spans="1:31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28"/>
        <v>8</v>
      </c>
      <c r="C358" s="184">
        <f t="shared" si="29"/>
        <v>41876</v>
      </c>
      <c r="D358" s="184" t="s">
        <v>952</v>
      </c>
      <c r="E358" s="191">
        <v>41876</v>
      </c>
      <c r="F358" s="192" t="s">
        <v>658</v>
      </c>
      <c r="G358" s="468" t="s">
        <v>657</v>
      </c>
      <c r="H358" s="7" t="s">
        <v>603</v>
      </c>
      <c r="I358" s="256">
        <v>160</v>
      </c>
      <c r="J358" s="256">
        <v>13100</v>
      </c>
      <c r="K358" s="568">
        <f>ROUND(I358*J358,0)</f>
        <v>2096000</v>
      </c>
      <c r="L358" s="569" t="s">
        <v>253</v>
      </c>
      <c r="M358" s="569" t="s">
        <v>177</v>
      </c>
      <c r="N358" s="52" t="str">
        <f>IF(AND('331-CT'!$E$7=TH!H358,OR(L358="331",M358="331")),"331",IF(AND(OR(L358="131",M358="131"),H358='131-CT'!$E$7),"131",""))</f>
        <v/>
      </c>
      <c r="O358" s="89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15"/>
      <c r="AC358" s="211" t="str">
        <f>IF(F358=VLOOKUP(F358,NXT!$C$12:$C$345,1,0),"","x")</f>
        <v/>
      </c>
    </row>
    <row r="359" spans="1:31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28"/>
        <v>8</v>
      </c>
      <c r="C359" s="184">
        <f t="shared" si="29"/>
        <v>41876</v>
      </c>
      <c r="D359" s="184" t="s">
        <v>952</v>
      </c>
      <c r="E359" s="191">
        <v>41876</v>
      </c>
      <c r="F359" s="192" t="s">
        <v>624</v>
      </c>
      <c r="G359" s="468" t="s">
        <v>657</v>
      </c>
      <c r="H359" s="7" t="s">
        <v>603</v>
      </c>
      <c r="I359" s="256">
        <v>1900</v>
      </c>
      <c r="J359" s="256">
        <v>400</v>
      </c>
      <c r="K359" s="568">
        <f>ROUND(I359*J359,0)</f>
        <v>760000</v>
      </c>
      <c r="L359" s="569" t="s">
        <v>253</v>
      </c>
      <c r="M359" s="569" t="s">
        <v>177</v>
      </c>
      <c r="N359" s="52" t="str">
        <f>IF(AND('331-CT'!$E$7=TH!H359,OR(L359="331",M359="331")),"331",IF(AND(OR(L359="131",M359="131"),H359='131-CT'!$E$7),"131",""))</f>
        <v/>
      </c>
      <c r="O359" s="89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15"/>
      <c r="AC359" s="211" t="str">
        <f>IF(F359=VLOOKUP(F359,NXT!$C$12:$C$345,1,0),"","x")</f>
        <v/>
      </c>
    </row>
    <row r="360" spans="1:31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28"/>
        <v>8</v>
      </c>
      <c r="C360" s="184">
        <f t="shared" si="29"/>
        <v>41876</v>
      </c>
      <c r="D360" s="184" t="s">
        <v>952</v>
      </c>
      <c r="E360" s="191">
        <v>41876</v>
      </c>
      <c r="F360" s="192" t="s">
        <v>421</v>
      </c>
      <c r="G360" s="468" t="s">
        <v>657</v>
      </c>
      <c r="H360" s="7" t="s">
        <v>603</v>
      </c>
      <c r="I360" s="256"/>
      <c r="J360" s="256"/>
      <c r="K360" s="568">
        <v>1180780</v>
      </c>
      <c r="L360" s="569" t="s">
        <v>253</v>
      </c>
      <c r="M360" s="569" t="s">
        <v>365</v>
      </c>
      <c r="N360" s="52" t="str">
        <f>IF(AND('331-CT'!$E$7=TH!H360,OR(L360="331",M360="331")),"331",IF(AND(OR(L360="131",M360="131"),H360='131-CT'!$E$7),"131",""))</f>
        <v/>
      </c>
      <c r="O360" s="89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15"/>
      <c r="AC360" s="560" t="str">
        <f>IF(VLOOKUP(H360,DS_131,1,0)&lt;&gt;"","","x")</f>
        <v/>
      </c>
    </row>
    <row r="361" spans="1:31" s="560" customFormat="1" ht="15.75" customHeight="1">
      <c r="A361" s="204" t="str">
        <f>IF(B361&lt;&gt;"",IF(AND(B361&gt;=_TM1,B361&lt;=_TM2,OR(TH!L361="1111",TH!M361="1111")),TH!D361,""),"")</f>
        <v/>
      </c>
      <c r="B361" s="36">
        <f t="shared" si="28"/>
        <v>8</v>
      </c>
      <c r="C361" s="184">
        <f t="shared" si="29"/>
        <v>41877</v>
      </c>
      <c r="D361" s="184" t="s">
        <v>953</v>
      </c>
      <c r="E361" s="191">
        <v>41877</v>
      </c>
      <c r="F361" s="189" t="s">
        <v>601</v>
      </c>
      <c r="G361" s="468" t="s">
        <v>659</v>
      </c>
      <c r="H361" s="7" t="s">
        <v>603</v>
      </c>
      <c r="I361" s="256">
        <v>612</v>
      </c>
      <c r="J361" s="256">
        <v>13000</v>
      </c>
      <c r="K361" s="568">
        <f>ROUND(I361*J361,0)</f>
        <v>7956000</v>
      </c>
      <c r="L361" s="569" t="s">
        <v>253</v>
      </c>
      <c r="M361" s="569" t="s">
        <v>177</v>
      </c>
      <c r="N361" s="52" t="str">
        <f>IF(AND('331-CT'!$E$7=TH!H361,OR(L361="331",M361="331")),"331",IF(AND(OR(L361="131",M361="131"),H361='131-CT'!$E$7),"131",""))</f>
        <v/>
      </c>
      <c r="O361" s="89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15"/>
      <c r="AC361" s="211" t="str">
        <f>IF(F361=VLOOKUP(F361,NXT!$C$12:$C$345,1,0),"","x")</f>
        <v/>
      </c>
      <c r="AD361" s="211"/>
      <c r="AE361" s="211"/>
    </row>
    <row r="362" spans="1:31" s="560" customFormat="1" ht="15.75" customHeight="1">
      <c r="A362" s="204" t="str">
        <f>IF(B362&lt;&gt;"",IF(AND(B362&gt;=_TM1,B362&lt;=_TM2,OR(TH!L362="1111",TH!M362="1111")),TH!D362,""),"")</f>
        <v/>
      </c>
      <c r="B362" s="36">
        <f t="shared" si="28"/>
        <v>8</v>
      </c>
      <c r="C362" s="184">
        <f t="shared" si="29"/>
        <v>41877</v>
      </c>
      <c r="D362" s="184" t="s">
        <v>953</v>
      </c>
      <c r="E362" s="191">
        <v>41877</v>
      </c>
      <c r="F362" s="192" t="s">
        <v>604</v>
      </c>
      <c r="G362" s="468" t="s">
        <v>659</v>
      </c>
      <c r="H362" s="7" t="s">
        <v>603</v>
      </c>
      <c r="I362" s="256">
        <v>267</v>
      </c>
      <c r="J362" s="256">
        <v>11900</v>
      </c>
      <c r="K362" s="568">
        <f>ROUND(I362*J362,0)</f>
        <v>3177300</v>
      </c>
      <c r="L362" s="569" t="s">
        <v>253</v>
      </c>
      <c r="M362" s="569" t="s">
        <v>177</v>
      </c>
      <c r="N362" s="52" t="str">
        <f>IF(AND('331-CT'!$E$7=TH!H362,OR(L362="331",M362="331")),"331",IF(AND(OR(L362="131",M362="131"),H362='131-CT'!$E$7),"131",""))</f>
        <v/>
      </c>
      <c r="O362" s="89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15"/>
      <c r="AC362" s="211" t="str">
        <f>IF(F362=VLOOKUP(F362,NXT!$C$12:$C$345,1,0),"","x")</f>
        <v/>
      </c>
      <c r="AD362" s="211"/>
      <c r="AE362" s="211"/>
    </row>
    <row r="363" spans="1:31" s="560" customFormat="1" ht="15.75" customHeight="1">
      <c r="A363" s="204" t="str">
        <f>IF(B363&lt;&gt;"",IF(AND(B363&gt;=_TM1,B363&lt;=_TM2,OR(TH!L363="1111",TH!M363="1111")),TH!D363,""),"")</f>
        <v/>
      </c>
      <c r="B363" s="36">
        <f t="shared" si="28"/>
        <v>8</v>
      </c>
      <c r="C363" s="184">
        <f t="shared" si="29"/>
        <v>41877</v>
      </c>
      <c r="D363" s="184" t="s">
        <v>953</v>
      </c>
      <c r="E363" s="191">
        <v>41877</v>
      </c>
      <c r="F363" s="192" t="s">
        <v>601</v>
      </c>
      <c r="G363" s="468" t="s">
        <v>659</v>
      </c>
      <c r="H363" s="7" t="s">
        <v>603</v>
      </c>
      <c r="I363" s="256">
        <v>77</v>
      </c>
      <c r="J363" s="256">
        <v>13000</v>
      </c>
      <c r="K363" s="568">
        <f>ROUND(I363*J363,0)</f>
        <v>1001000</v>
      </c>
      <c r="L363" s="569" t="s">
        <v>253</v>
      </c>
      <c r="M363" s="569" t="s">
        <v>177</v>
      </c>
      <c r="N363" s="52" t="str">
        <f>IF(AND('331-CT'!$E$7=TH!H363,OR(L363="331",M363="331")),"331",IF(AND(OR(L363="131",M363="131"),H363='131-CT'!$E$7),"131",""))</f>
        <v/>
      </c>
      <c r="O363" s="89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15"/>
      <c r="AC363" s="211" t="str">
        <f>IF(F363=VLOOKUP(F363,NXT!$C$12:$C$345,1,0),"","x")</f>
        <v/>
      </c>
      <c r="AD363" s="211"/>
      <c r="AE363" s="211"/>
    </row>
    <row r="364" spans="1:31" s="560" customFormat="1" ht="15.75" customHeight="1">
      <c r="A364" s="204" t="str">
        <f>IF(B364&lt;&gt;"",IF(AND(B364&gt;=_TM1,B364&lt;=_TM2,OR(TH!L364="1111",TH!M364="1111")),TH!D364,""),"")</f>
        <v/>
      </c>
      <c r="B364" s="36">
        <f t="shared" si="28"/>
        <v>8</v>
      </c>
      <c r="C364" s="184">
        <f t="shared" si="29"/>
        <v>41877</v>
      </c>
      <c r="D364" s="184" t="s">
        <v>953</v>
      </c>
      <c r="E364" s="191">
        <v>41877</v>
      </c>
      <c r="F364" s="192" t="s">
        <v>624</v>
      </c>
      <c r="G364" s="468" t="s">
        <v>659</v>
      </c>
      <c r="H364" s="7" t="s">
        <v>603</v>
      </c>
      <c r="I364" s="257">
        <v>2400</v>
      </c>
      <c r="J364" s="257">
        <v>400</v>
      </c>
      <c r="K364" s="568">
        <f>ROUND(I364*J364,0)</f>
        <v>960000</v>
      </c>
      <c r="L364" s="569" t="s">
        <v>253</v>
      </c>
      <c r="M364" s="569" t="s">
        <v>177</v>
      </c>
      <c r="N364" s="52" t="str">
        <f>IF(AND('331-CT'!$E$7=TH!H364,OR(L364="331",M364="331")),"331",IF(AND(OR(L364="131",M364="131"),H364='131-CT'!$E$7),"131",""))</f>
        <v/>
      </c>
      <c r="O364" s="89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15"/>
      <c r="AC364" s="211" t="str">
        <f>IF(F364=VLOOKUP(F364,NXT!$C$12:$C$345,1,0),"","x")</f>
        <v/>
      </c>
      <c r="AD364" s="211"/>
      <c r="AE364" s="211"/>
    </row>
    <row r="365" spans="1:31" s="560" customFormat="1" ht="15.75" customHeight="1">
      <c r="A365" s="204" t="str">
        <f>IF(B365&lt;&gt;"",IF(AND(B365&gt;=_TM1,B365&lt;=_TM2,OR(TH!L365="1111",TH!M365="1111")),TH!D365,""),"")</f>
        <v/>
      </c>
      <c r="B365" s="36">
        <f t="shared" si="28"/>
        <v>8</v>
      </c>
      <c r="C365" s="184">
        <f t="shared" si="29"/>
        <v>41877</v>
      </c>
      <c r="D365" s="184" t="s">
        <v>953</v>
      </c>
      <c r="E365" s="191">
        <v>41877</v>
      </c>
      <c r="F365" s="192" t="s">
        <v>421</v>
      </c>
      <c r="G365" s="468" t="s">
        <v>659</v>
      </c>
      <c r="H365" s="7" t="s">
        <v>603</v>
      </c>
      <c r="I365" s="257"/>
      <c r="J365" s="257"/>
      <c r="K365" s="568">
        <v>1309430</v>
      </c>
      <c r="L365" s="569" t="s">
        <v>253</v>
      </c>
      <c r="M365" s="569" t="s">
        <v>365</v>
      </c>
      <c r="N365" s="52" t="str">
        <f>IF(AND('331-CT'!$E$7=TH!H365,OR(L365="331",M365="331")),"331",IF(AND(OR(L365="131",M365="131"),H365='131-CT'!$E$7),"131",""))</f>
        <v/>
      </c>
      <c r="O365" s="89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15"/>
      <c r="AC365" s="560" t="str">
        <f>IF(VLOOKUP(H365,DS_131,1,0)&lt;&gt;"","","x")</f>
        <v/>
      </c>
      <c r="AD365" s="211"/>
      <c r="AE365" s="211"/>
    </row>
    <row r="366" spans="1:31" s="560" customFormat="1" ht="15.75" customHeight="1">
      <c r="A366" s="204" t="str">
        <f>IF(B366&lt;&gt;"",IF(AND(B366&gt;=_TM1,B366&lt;=_TM2,OR(TH!L366="1111",TH!M366="1111")),TH!D366,""),"")</f>
        <v/>
      </c>
      <c r="B366" s="36">
        <f t="shared" si="28"/>
        <v>8</v>
      </c>
      <c r="C366" s="184">
        <f t="shared" si="29"/>
        <v>41878</v>
      </c>
      <c r="D366" s="184" t="s">
        <v>954</v>
      </c>
      <c r="E366" s="191">
        <v>41878</v>
      </c>
      <c r="F366" s="192" t="s">
        <v>516</v>
      </c>
      <c r="G366" s="468" t="s">
        <v>660</v>
      </c>
      <c r="H366" s="7" t="s">
        <v>910</v>
      </c>
      <c r="I366" s="256">
        <v>981</v>
      </c>
      <c r="J366" s="256">
        <v>12000</v>
      </c>
      <c r="K366" s="568">
        <f>ROUND(I366*J366,0)</f>
        <v>11772000</v>
      </c>
      <c r="L366" s="569" t="s">
        <v>253</v>
      </c>
      <c r="M366" s="569" t="s">
        <v>177</v>
      </c>
      <c r="N366" s="52" t="str">
        <f>IF(AND('331-CT'!$E$7=TH!H366,OR(L366="331",M366="331")),"331",IF(AND(OR(L366="131",M366="131"),H366='131-CT'!$E$7),"131",""))</f>
        <v/>
      </c>
      <c r="O366" s="89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15"/>
      <c r="AC366" s="211" t="str">
        <f>IF(F366=VLOOKUP(F366,NXT!$C$12:$C$345,1,0),"","x")</f>
        <v/>
      </c>
      <c r="AD366" s="211"/>
      <c r="AE366" s="211"/>
    </row>
    <row r="367" spans="1:31" s="560" customFormat="1" ht="15.75" customHeight="1">
      <c r="A367" s="204" t="str">
        <f>IF(B367&lt;&gt;"",IF(AND(B367&gt;=_TM1,B367&lt;=_TM2,OR(TH!L367="1111",TH!M367="1111")),TH!D367,""),"")</f>
        <v/>
      </c>
      <c r="B367" s="36">
        <f t="shared" si="28"/>
        <v>8</v>
      </c>
      <c r="C367" s="184">
        <f t="shared" si="29"/>
        <v>41878</v>
      </c>
      <c r="D367" s="184" t="s">
        <v>954</v>
      </c>
      <c r="E367" s="191">
        <v>41878</v>
      </c>
      <c r="F367" s="192" t="s">
        <v>421</v>
      </c>
      <c r="G367" s="468" t="s">
        <v>660</v>
      </c>
      <c r="H367" s="7" t="s">
        <v>910</v>
      </c>
      <c r="I367" s="256"/>
      <c r="J367" s="256"/>
      <c r="K367" s="568">
        <v>1177200</v>
      </c>
      <c r="L367" s="569" t="s">
        <v>253</v>
      </c>
      <c r="M367" s="569" t="s">
        <v>365</v>
      </c>
      <c r="N367" s="52" t="str">
        <f>IF(AND('331-CT'!$E$7=TH!H367,OR(L367="331",M367="331")),"331",IF(AND(OR(L367="131",M367="131"),H367='131-CT'!$E$7),"131",""))</f>
        <v/>
      </c>
      <c r="O367" s="89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15"/>
      <c r="AC367" s="560" t="str">
        <f>IF(VLOOKUP(H367,DS_131,1,0)&lt;&gt;"","","x")</f>
        <v/>
      </c>
      <c r="AD367" s="211"/>
      <c r="AE367" s="211"/>
    </row>
    <row r="368" spans="1:31" s="560" customFormat="1" ht="15.75" customHeight="1">
      <c r="A368" s="204" t="str">
        <f>IF(B368&lt;&gt;"",IF(AND(B368&gt;=_TM1,B368&lt;=_TM2,OR(TH!L368="1111",TH!M368="1111")),TH!D368,""),"")</f>
        <v/>
      </c>
      <c r="B368" s="36">
        <f t="shared" si="28"/>
        <v>8</v>
      </c>
      <c r="C368" s="184">
        <f t="shared" si="29"/>
        <v>41879</v>
      </c>
      <c r="D368" s="184" t="s">
        <v>955</v>
      </c>
      <c r="E368" s="191">
        <v>41879</v>
      </c>
      <c r="F368" s="192" t="s">
        <v>1204</v>
      </c>
      <c r="G368" s="468" t="s">
        <v>661</v>
      </c>
      <c r="H368" s="7" t="s">
        <v>478</v>
      </c>
      <c r="I368" s="256">
        <v>1200</v>
      </c>
      <c r="J368" s="256">
        <v>1000</v>
      </c>
      <c r="K368" s="568">
        <f>ROUND(I368*J368,0)</f>
        <v>1200000</v>
      </c>
      <c r="L368" s="569" t="s">
        <v>253</v>
      </c>
      <c r="M368" s="569" t="s">
        <v>177</v>
      </c>
      <c r="N368" s="52" t="str">
        <f>IF(AND('331-CT'!$E$7=TH!H368,OR(L368="331",M368="331")),"331",IF(AND(OR(L368="131",M368="131"),H368='131-CT'!$E$7),"131",""))</f>
        <v/>
      </c>
      <c r="O368" s="89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15"/>
      <c r="AC368" s="211" t="str">
        <f>IF(F368=VLOOKUP(F368,NXT!$C$12:$C$345,1,0),"","x")</f>
        <v/>
      </c>
      <c r="AD368" s="211"/>
      <c r="AE368" s="211"/>
    </row>
    <row r="369" spans="1:31" s="560" customFormat="1" ht="15.75" customHeight="1">
      <c r="A369" s="204" t="str">
        <f>IF(B369&lt;&gt;"",IF(AND(B369&gt;=_TM1,B369&lt;=_TM2,OR(TH!L369="1111",TH!M369="1111")),TH!D369,""),"")</f>
        <v/>
      </c>
      <c r="B369" s="36">
        <f t="shared" si="28"/>
        <v>8</v>
      </c>
      <c r="C369" s="184">
        <f t="shared" si="29"/>
        <v>41879</v>
      </c>
      <c r="D369" s="184" t="s">
        <v>955</v>
      </c>
      <c r="E369" s="191">
        <v>41879</v>
      </c>
      <c r="F369" s="192" t="s">
        <v>1205</v>
      </c>
      <c r="G369" s="468" t="s">
        <v>661</v>
      </c>
      <c r="H369" s="7" t="s">
        <v>478</v>
      </c>
      <c r="I369" s="256">
        <v>400</v>
      </c>
      <c r="J369" s="256">
        <v>3500</v>
      </c>
      <c r="K369" s="568">
        <f>ROUND(I369*J369,0)</f>
        <v>1400000</v>
      </c>
      <c r="L369" s="569" t="s">
        <v>253</v>
      </c>
      <c r="M369" s="569" t="s">
        <v>177</v>
      </c>
      <c r="N369" s="52" t="str">
        <f>IF(AND('331-CT'!$E$7=TH!H369,OR(L369="331",M369="331")),"331",IF(AND(OR(L369="131",M369="131"),H369='131-CT'!$E$7),"131",""))</f>
        <v/>
      </c>
      <c r="O369" s="89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15"/>
      <c r="AC369" s="211" t="str">
        <f>IF(F369=VLOOKUP(F369,NXT!$C$12:$C$345,1,0),"","x")</f>
        <v/>
      </c>
      <c r="AD369" s="211"/>
      <c r="AE369" s="211"/>
    </row>
    <row r="370" spans="1:31" s="560" customFormat="1" ht="15.75" customHeight="1">
      <c r="A370" s="204" t="str">
        <f>IF(B370&lt;&gt;"",IF(AND(B370&gt;=_TM1,B370&lt;=_TM2,OR(TH!L370="1111",TH!M370="1111")),TH!D370,""),"")</f>
        <v/>
      </c>
      <c r="B370" s="36">
        <f t="shared" si="28"/>
        <v>8</v>
      </c>
      <c r="C370" s="184">
        <f t="shared" si="29"/>
        <v>41879</v>
      </c>
      <c r="D370" s="184" t="s">
        <v>955</v>
      </c>
      <c r="E370" s="191">
        <v>41879</v>
      </c>
      <c r="F370" s="192" t="s">
        <v>421</v>
      </c>
      <c r="G370" s="468" t="s">
        <v>661</v>
      </c>
      <c r="H370" s="7" t="s">
        <v>478</v>
      </c>
      <c r="I370" s="256"/>
      <c r="J370" s="256"/>
      <c r="K370" s="568">
        <v>260000</v>
      </c>
      <c r="L370" s="569" t="s">
        <v>253</v>
      </c>
      <c r="M370" s="569" t="s">
        <v>365</v>
      </c>
      <c r="N370" s="52" t="str">
        <f>IF(AND('331-CT'!$E$7=TH!H370,OR(L370="331",M370="331")),"331",IF(AND(OR(L370="131",M370="131"),H370='131-CT'!$E$7),"131",""))</f>
        <v/>
      </c>
      <c r="O370" s="89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15"/>
      <c r="AC370" s="560" t="str">
        <f>IF(VLOOKUP(H370,DS_131,1,0)&lt;&gt;"","","x")</f>
        <v/>
      </c>
      <c r="AD370" s="211"/>
      <c r="AE370" s="211"/>
    </row>
    <row r="371" spans="1:31" s="560" customFormat="1" ht="15.75" customHeight="1">
      <c r="A371" s="204" t="str">
        <f>IF(B371&lt;&gt;"",IF(AND(B371&gt;=_TM1,B371&lt;=_TM2,OR(TH!L371="1111",TH!M371="1111")),TH!D371,""),"")</f>
        <v/>
      </c>
      <c r="B371" s="36">
        <f t="shared" ref="B371:B429" si="31">IF(C371&lt;&gt;"",MONTH(C371),"")</f>
        <v>9</v>
      </c>
      <c r="C371" s="184">
        <f t="shared" ref="C371:C429" si="32">E371</f>
        <v>41883</v>
      </c>
      <c r="D371" s="184" t="s">
        <v>957</v>
      </c>
      <c r="E371" s="191">
        <v>41883</v>
      </c>
      <c r="F371" s="192" t="s">
        <v>665</v>
      </c>
      <c r="G371" s="468" t="s">
        <v>666</v>
      </c>
      <c r="H371" s="7" t="s">
        <v>642</v>
      </c>
      <c r="I371" s="256">
        <v>509</v>
      </c>
      <c r="J371" s="256">
        <v>6600</v>
      </c>
      <c r="K371" s="568">
        <f>ROUND(I371*J371,0)</f>
        <v>3359400</v>
      </c>
      <c r="L371" s="569" t="s">
        <v>253</v>
      </c>
      <c r="M371" s="569" t="s">
        <v>177</v>
      </c>
      <c r="N371" s="52" t="str">
        <f>IF(AND('331-CT'!$E$7=TH!H371,OR(L371="331",M371="331")),"331",IF(AND(OR(L371="131",M371="131"),H371='131-CT'!$E$7),"131",""))</f>
        <v/>
      </c>
      <c r="O371" s="89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15"/>
      <c r="AC371" s="211" t="str">
        <f>IF(F371=VLOOKUP(F371,NXT!$C$12:$C$345,1,0),"","x")</f>
        <v/>
      </c>
      <c r="AD371" s="211"/>
      <c r="AE371" s="211"/>
    </row>
    <row r="372" spans="1:31" s="560" customFormat="1" ht="15.75" customHeight="1">
      <c r="A372" s="204" t="str">
        <f>IF(B372&lt;&gt;"",IF(AND(B372&gt;=_TM1,B372&lt;=_TM2,OR(TH!L372="1111",TH!M372="1111")),TH!D372,""),"")</f>
        <v/>
      </c>
      <c r="B372" s="36">
        <f t="shared" si="31"/>
        <v>9</v>
      </c>
      <c r="C372" s="184">
        <f t="shared" si="32"/>
        <v>41883</v>
      </c>
      <c r="D372" s="184" t="s">
        <v>957</v>
      </c>
      <c r="E372" s="191">
        <v>41883</v>
      </c>
      <c r="F372" s="192" t="s">
        <v>667</v>
      </c>
      <c r="G372" s="468" t="s">
        <v>666</v>
      </c>
      <c r="H372" s="7" t="s">
        <v>642</v>
      </c>
      <c r="I372" s="256">
        <v>210</v>
      </c>
      <c r="J372" s="256">
        <v>6400</v>
      </c>
      <c r="K372" s="568">
        <f>ROUND(I372*J372,0)</f>
        <v>1344000</v>
      </c>
      <c r="L372" s="569" t="s">
        <v>253</v>
      </c>
      <c r="M372" s="569" t="s">
        <v>177</v>
      </c>
      <c r="N372" s="52" t="str">
        <f>IF(AND('331-CT'!$E$7=TH!H372,OR(L372="331",M372="331")),"331",IF(AND(OR(L372="131",M372="131"),H372='131-CT'!$E$7),"131",""))</f>
        <v/>
      </c>
      <c r="O372" s="89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15"/>
      <c r="AC372" s="211" t="str">
        <f>IF(F372=VLOOKUP(F372,NXT!$C$12:$C$345,1,0),"","x")</f>
        <v/>
      </c>
      <c r="AD372" s="211"/>
      <c r="AE372" s="211"/>
    </row>
    <row r="373" spans="1:31" s="560" customFormat="1" ht="15.75" customHeight="1">
      <c r="A373" s="204" t="str">
        <f>IF(B373&lt;&gt;"",IF(AND(B373&gt;=_TM1,B373&lt;=_TM2,OR(TH!L373="1111",TH!M373="1111")),TH!D373,""),"")</f>
        <v/>
      </c>
      <c r="B373" s="36">
        <f t="shared" si="31"/>
        <v>9</v>
      </c>
      <c r="C373" s="184">
        <f t="shared" si="32"/>
        <v>41883</v>
      </c>
      <c r="D373" s="184" t="s">
        <v>957</v>
      </c>
      <c r="E373" s="191">
        <v>41883</v>
      </c>
      <c r="F373" s="192" t="s">
        <v>421</v>
      </c>
      <c r="G373" s="468" t="s">
        <v>666</v>
      </c>
      <c r="H373" s="7" t="s">
        <v>642</v>
      </c>
      <c r="I373" s="257"/>
      <c r="J373" s="257"/>
      <c r="K373" s="568">
        <v>470340</v>
      </c>
      <c r="L373" s="569" t="s">
        <v>253</v>
      </c>
      <c r="M373" s="569" t="s">
        <v>365</v>
      </c>
      <c r="N373" s="52" t="str">
        <f>IF(AND('331-CT'!$E$7=TH!H373,OR(L373="331",M373="331")),"331",IF(AND(OR(L373="131",M373="131"),H373='131-CT'!$E$7),"131",""))</f>
        <v/>
      </c>
      <c r="O373" s="89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15"/>
      <c r="AC373" s="560" t="str">
        <f>IF(VLOOKUP(H373,DS_131,1,0)&lt;&gt;"","","x")</f>
        <v/>
      </c>
      <c r="AD373" s="211"/>
      <c r="AE373" s="211"/>
    </row>
    <row r="374" spans="1:31" s="560" customFormat="1" ht="15.75" customHeight="1">
      <c r="A374" s="204" t="str">
        <f>IF(B374&lt;&gt;"",IF(AND(B374&gt;=_TM1,B374&lt;=_TM2,OR(TH!L374="1111",TH!M374="1111")),TH!D374,""),"")</f>
        <v/>
      </c>
      <c r="B374" s="36">
        <f t="shared" si="31"/>
        <v>9</v>
      </c>
      <c r="C374" s="184">
        <f t="shared" si="32"/>
        <v>41883</v>
      </c>
      <c r="D374" s="184" t="s">
        <v>958</v>
      </c>
      <c r="E374" s="191">
        <v>41883</v>
      </c>
      <c r="F374" s="192" t="s">
        <v>601</v>
      </c>
      <c r="G374" s="468" t="s">
        <v>668</v>
      </c>
      <c r="H374" s="7" t="s">
        <v>603</v>
      </c>
      <c r="I374" s="256">
        <v>1116</v>
      </c>
      <c r="J374" s="256">
        <v>13000</v>
      </c>
      <c r="K374" s="568">
        <f>ROUND(I374*J374,0)</f>
        <v>14508000</v>
      </c>
      <c r="L374" s="569" t="s">
        <v>253</v>
      </c>
      <c r="M374" s="569" t="s">
        <v>177</v>
      </c>
      <c r="N374" s="52" t="str">
        <f>IF(AND('331-CT'!$E$7=TH!H374,OR(L374="331",M374="331")),"331",IF(AND(OR(L374="131",M374="131"),H374='131-CT'!$E$7),"131",""))</f>
        <v/>
      </c>
      <c r="O374" s="89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15"/>
      <c r="AC374" s="211" t="str">
        <f>IF(F374=VLOOKUP(F374,NXT!$C$12:$C$345,1,0),"","x")</f>
        <v/>
      </c>
      <c r="AD374" s="211"/>
      <c r="AE374" s="211"/>
    </row>
    <row r="375" spans="1:31" s="560" customFormat="1" ht="15.75" customHeight="1">
      <c r="A375" s="204" t="str">
        <f>IF(B375&lt;&gt;"",IF(AND(B375&gt;=_TM1,B375&lt;=_TM2,OR(TH!L375="1111",TH!M375="1111")),TH!D375,""),"")</f>
        <v/>
      </c>
      <c r="B375" s="36">
        <f t="shared" si="31"/>
        <v>9</v>
      </c>
      <c r="C375" s="184">
        <f t="shared" si="32"/>
        <v>41883</v>
      </c>
      <c r="D375" s="184" t="s">
        <v>958</v>
      </c>
      <c r="E375" s="191">
        <v>41883</v>
      </c>
      <c r="F375" s="192" t="s">
        <v>663</v>
      </c>
      <c r="G375" s="468" t="s">
        <v>668</v>
      </c>
      <c r="H375" s="7" t="s">
        <v>603</v>
      </c>
      <c r="I375" s="256">
        <v>1273</v>
      </c>
      <c r="J375" s="256">
        <v>10050</v>
      </c>
      <c r="K375" s="568">
        <f>ROUND(I375*J375,0)</f>
        <v>12793650</v>
      </c>
      <c r="L375" s="569" t="s">
        <v>253</v>
      </c>
      <c r="M375" s="569" t="s">
        <v>177</v>
      </c>
      <c r="N375" s="52" t="str">
        <f>IF(AND('331-CT'!$E$7=TH!H375,OR(L375="331",M375="331")),"331",IF(AND(OR(L375="131",M375="131"),H375='131-CT'!$E$7),"131",""))</f>
        <v/>
      </c>
      <c r="O375" s="89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15"/>
      <c r="AC375" s="211" t="str">
        <f>IF(F375=VLOOKUP(F375,NXT!$C$12:$C$345,1,0),"","x")</f>
        <v/>
      </c>
      <c r="AD375" s="211"/>
      <c r="AE375" s="211"/>
    </row>
    <row r="376" spans="1:31" s="560" customFormat="1" ht="15.75" customHeight="1">
      <c r="A376" s="204" t="str">
        <f>IF(B376&lt;&gt;"",IF(AND(B376&gt;=_TM1,B376&lt;=_TM2,OR(TH!L376="1111",TH!M376="1111")),TH!D376,""),"")</f>
        <v/>
      </c>
      <c r="B376" s="36">
        <f t="shared" si="31"/>
        <v>9</v>
      </c>
      <c r="C376" s="184">
        <f t="shared" si="32"/>
        <v>41883</v>
      </c>
      <c r="D376" s="184" t="s">
        <v>958</v>
      </c>
      <c r="E376" s="191">
        <v>41883</v>
      </c>
      <c r="F376" s="192" t="s">
        <v>604</v>
      </c>
      <c r="G376" s="468" t="s">
        <v>668</v>
      </c>
      <c r="H376" s="7" t="s">
        <v>603</v>
      </c>
      <c r="I376" s="256">
        <v>373</v>
      </c>
      <c r="J376" s="256">
        <v>11900</v>
      </c>
      <c r="K376" s="568">
        <f>ROUND(I376*J376,0)</f>
        <v>4438700</v>
      </c>
      <c r="L376" s="569" t="s">
        <v>253</v>
      </c>
      <c r="M376" s="569" t="s">
        <v>177</v>
      </c>
      <c r="N376" s="52" t="str">
        <f>IF(AND('331-CT'!$E$7=TH!H376,OR(L376="331",M376="331")),"331",IF(AND(OR(L376="131",M376="131"),H376='131-CT'!$E$7),"131",""))</f>
        <v/>
      </c>
      <c r="O376" s="89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15"/>
      <c r="AC376" s="211" t="str">
        <f>IF(F376=VLOOKUP(F376,NXT!$C$12:$C$345,1,0),"","x")</f>
        <v/>
      </c>
      <c r="AD376" s="211"/>
      <c r="AE376" s="211"/>
    </row>
    <row r="377" spans="1:31" s="560" customFormat="1" ht="15.75" customHeight="1">
      <c r="A377" s="204" t="str">
        <f>IF(B377&lt;&gt;"",IF(AND(B377&gt;=_TM1,B377&lt;=_TM2,OR(TH!L377="1111",TH!M377="1111")),TH!D377,""),"")</f>
        <v/>
      </c>
      <c r="B377" s="36">
        <f t="shared" si="31"/>
        <v>9</v>
      </c>
      <c r="C377" s="184">
        <f t="shared" si="32"/>
        <v>41883</v>
      </c>
      <c r="D377" s="184" t="s">
        <v>958</v>
      </c>
      <c r="E377" s="191">
        <v>41883</v>
      </c>
      <c r="F377" s="192" t="s">
        <v>664</v>
      </c>
      <c r="G377" s="468" t="s">
        <v>668</v>
      </c>
      <c r="H377" s="7" t="s">
        <v>603</v>
      </c>
      <c r="I377" s="256">
        <v>176</v>
      </c>
      <c r="J377" s="256">
        <v>13650</v>
      </c>
      <c r="K377" s="568">
        <f>ROUND(I377*J377,0)</f>
        <v>2402400</v>
      </c>
      <c r="L377" s="569" t="s">
        <v>253</v>
      </c>
      <c r="M377" s="569" t="s">
        <v>177</v>
      </c>
      <c r="N377" s="52" t="str">
        <f>IF(AND('331-CT'!$E$7=TH!H377,OR(L377="331",M377="331")),"331",IF(AND(OR(L377="131",M377="131"),H377='131-CT'!$E$7),"131",""))</f>
        <v/>
      </c>
      <c r="O377" s="89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15"/>
      <c r="AC377" s="211" t="str">
        <f>IF(F377=VLOOKUP(F377,NXT!$C$12:$C$345,1,0),"","x")</f>
        <v/>
      </c>
      <c r="AD377" s="211"/>
      <c r="AE377" s="211"/>
    </row>
    <row r="378" spans="1:31" s="560" customFormat="1" ht="15.75" customHeight="1">
      <c r="A378" s="204" t="str">
        <f>IF(B378&lt;&gt;"",IF(AND(B378&gt;=_TM1,B378&lt;=_TM2,OR(TH!L378="1111",TH!M378="1111")),TH!D378,""),"")</f>
        <v/>
      </c>
      <c r="B378" s="36">
        <f t="shared" si="31"/>
        <v>9</v>
      </c>
      <c r="C378" s="184">
        <f t="shared" si="32"/>
        <v>41883</v>
      </c>
      <c r="D378" s="184" t="s">
        <v>958</v>
      </c>
      <c r="E378" s="191">
        <v>41883</v>
      </c>
      <c r="F378" s="192" t="s">
        <v>624</v>
      </c>
      <c r="G378" s="468" t="s">
        <v>668</v>
      </c>
      <c r="H378" s="7" t="s">
        <v>603</v>
      </c>
      <c r="I378" s="256">
        <v>4500</v>
      </c>
      <c r="J378" s="256">
        <v>400</v>
      </c>
      <c r="K378" s="568">
        <f>ROUND(I378*J378,0)</f>
        <v>1800000</v>
      </c>
      <c r="L378" s="569" t="s">
        <v>253</v>
      </c>
      <c r="M378" s="569" t="s">
        <v>177</v>
      </c>
      <c r="N378" s="52" t="str">
        <f>IF(AND('331-CT'!$E$7=TH!H378,OR(L378="331",M378="331")),"331",IF(AND(OR(L378="131",M378="131"),H378='131-CT'!$E$7),"131",""))</f>
        <v/>
      </c>
      <c r="O378" s="89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15"/>
      <c r="AC378" s="211" t="str">
        <f>IF(F378=VLOOKUP(F378,NXT!$C$12:$C$345,1,0),"","x")</f>
        <v/>
      </c>
      <c r="AD378" s="211"/>
      <c r="AE378" s="211"/>
    </row>
    <row r="379" spans="1:31" s="560" customFormat="1" ht="15.75" customHeight="1">
      <c r="A379" s="204" t="str">
        <f>IF(B379&lt;&gt;"",IF(AND(B379&gt;=_TM1,B379&lt;=_TM2,OR(TH!L379="1111",TH!M379="1111")),TH!D379,""),"")</f>
        <v/>
      </c>
      <c r="B379" s="36">
        <f t="shared" si="31"/>
        <v>9</v>
      </c>
      <c r="C379" s="184">
        <f t="shared" si="32"/>
        <v>41883</v>
      </c>
      <c r="D379" s="184" t="s">
        <v>958</v>
      </c>
      <c r="E379" s="191">
        <v>41883</v>
      </c>
      <c r="F379" s="192" t="s">
        <v>421</v>
      </c>
      <c r="G379" s="468" t="s">
        <v>668</v>
      </c>
      <c r="H379" s="7" t="s">
        <v>603</v>
      </c>
      <c r="I379" s="256"/>
      <c r="J379" s="256"/>
      <c r="K379" s="568">
        <v>3594275</v>
      </c>
      <c r="L379" s="569" t="s">
        <v>253</v>
      </c>
      <c r="M379" s="569" t="s">
        <v>365</v>
      </c>
      <c r="N379" s="52" t="str">
        <f>IF(AND('331-CT'!$E$7=TH!H379,OR(L379="331",M379="331")),"331",IF(AND(OR(L379="131",M379="131"),H379='131-CT'!$E$7),"131",""))</f>
        <v/>
      </c>
      <c r="O379" s="89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15"/>
      <c r="AC379" s="560" t="str">
        <f>IF(VLOOKUP(H379,DS_131,1,0)&lt;&gt;"","","x")</f>
        <v/>
      </c>
      <c r="AD379" s="211"/>
      <c r="AE379" s="211"/>
    </row>
    <row r="380" spans="1:31" s="560" customFormat="1" ht="15.75" customHeight="1">
      <c r="A380" s="204" t="str">
        <f>IF(B380&lt;&gt;"",IF(AND(B380&gt;=_TM1,B380&lt;=_TM2,OR(TH!L380="1111",TH!M380="1111")),TH!D380,""),"")</f>
        <v/>
      </c>
      <c r="B380" s="36">
        <f t="shared" si="31"/>
        <v>9</v>
      </c>
      <c r="C380" s="184">
        <f t="shared" si="32"/>
        <v>41883</v>
      </c>
      <c r="D380" s="184" t="s">
        <v>959</v>
      </c>
      <c r="E380" s="191">
        <v>41883</v>
      </c>
      <c r="F380" s="192" t="s">
        <v>669</v>
      </c>
      <c r="G380" s="468" t="s">
        <v>670</v>
      </c>
      <c r="H380" s="7" t="s">
        <v>455</v>
      </c>
      <c r="I380" s="256">
        <v>500</v>
      </c>
      <c r="J380" s="256">
        <v>7000</v>
      </c>
      <c r="K380" s="568">
        <f>ROUND(I380*J380,0)</f>
        <v>3500000</v>
      </c>
      <c r="L380" s="569" t="s">
        <v>253</v>
      </c>
      <c r="M380" s="569" t="s">
        <v>177</v>
      </c>
      <c r="N380" s="52" t="str">
        <f>IF(AND('331-CT'!$E$7=TH!H380,OR(L380="331",M380="331")),"331",IF(AND(OR(L380="131",M380="131"),H380='131-CT'!$E$7),"131",""))</f>
        <v/>
      </c>
      <c r="O380" s="89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15"/>
      <c r="AC380" s="211" t="str">
        <f>IF(F380=VLOOKUP(F380,NXT!$C$12:$C$345,1,0),"","x")</f>
        <v/>
      </c>
      <c r="AD380" s="211"/>
      <c r="AE380" s="211"/>
    </row>
    <row r="381" spans="1:31" s="560" customFormat="1" ht="15.75" customHeight="1">
      <c r="A381" s="204" t="str">
        <f>IF(B381&lt;&gt;"",IF(AND(B381&gt;=_TM1,B381&lt;=_TM2,OR(TH!L381="1111",TH!M381="1111")),TH!D381,""),"")</f>
        <v/>
      </c>
      <c r="B381" s="36">
        <f t="shared" si="31"/>
        <v>9</v>
      </c>
      <c r="C381" s="184">
        <f t="shared" si="32"/>
        <v>41883</v>
      </c>
      <c r="D381" s="184" t="s">
        <v>959</v>
      </c>
      <c r="E381" s="191">
        <v>41883</v>
      </c>
      <c r="F381" s="192" t="s">
        <v>421</v>
      </c>
      <c r="G381" s="468" t="s">
        <v>670</v>
      </c>
      <c r="H381" s="7" t="s">
        <v>455</v>
      </c>
      <c r="I381" s="256"/>
      <c r="J381" s="256"/>
      <c r="K381" s="568">
        <v>350000</v>
      </c>
      <c r="L381" s="569" t="s">
        <v>253</v>
      </c>
      <c r="M381" s="569" t="s">
        <v>365</v>
      </c>
      <c r="N381" s="52" t="str">
        <f>IF(AND('331-CT'!$E$7=TH!H381,OR(L381="331",M381="331")),"331",IF(AND(OR(L381="131",M381="131"),H381='131-CT'!$E$7),"131",""))</f>
        <v/>
      </c>
      <c r="O381" s="89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15"/>
      <c r="AC381" s="560" t="str">
        <f>IF(VLOOKUP(H381,DS_131,1,0)&lt;&gt;"","","x")</f>
        <v/>
      </c>
      <c r="AD381" s="211"/>
      <c r="AE381" s="211"/>
    </row>
    <row r="382" spans="1:31" s="560" customFormat="1" ht="15.75" customHeight="1">
      <c r="A382" s="204" t="str">
        <f>IF(B382&lt;&gt;"",IF(AND(B382&gt;=_TM1,B382&lt;=_TM2,OR(TH!L382="1111",TH!M382="1111")),TH!D382,""),"")</f>
        <v/>
      </c>
      <c r="B382" s="36">
        <f t="shared" si="31"/>
        <v>9</v>
      </c>
      <c r="C382" s="184">
        <f t="shared" si="32"/>
        <v>41886</v>
      </c>
      <c r="D382" s="184" t="s">
        <v>960</v>
      </c>
      <c r="E382" s="191">
        <v>41886</v>
      </c>
      <c r="F382" s="192" t="s">
        <v>671</v>
      </c>
      <c r="G382" s="468" t="s">
        <v>672</v>
      </c>
      <c r="H382" s="7" t="s">
        <v>673</v>
      </c>
      <c r="I382" s="256">
        <v>711</v>
      </c>
      <c r="J382" s="256">
        <v>9500</v>
      </c>
      <c r="K382" s="568">
        <f>ROUND(I382*J382,0)</f>
        <v>6754500</v>
      </c>
      <c r="L382" s="569" t="s">
        <v>253</v>
      </c>
      <c r="M382" s="569" t="s">
        <v>177</v>
      </c>
      <c r="N382" s="52" t="str">
        <f>IF(AND('331-CT'!$E$7=TH!H382,OR(L382="331",M382="331")),"331",IF(AND(OR(L382="131",M382="131"),H382='131-CT'!$E$7),"131",""))</f>
        <v/>
      </c>
      <c r="O382" s="89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15"/>
      <c r="AC382" s="211" t="str">
        <f>IF(F382=VLOOKUP(F382,NXT!$C$12:$C$345,1,0),"","x")</f>
        <v/>
      </c>
      <c r="AD382" s="211"/>
      <c r="AE382" s="211"/>
    </row>
    <row r="383" spans="1:31" s="560" customFormat="1" ht="15.75" customHeight="1">
      <c r="A383" s="204" t="str">
        <f>IF(B383&lt;&gt;"",IF(AND(B383&gt;=_TM1,B383&lt;=_TM2,OR(TH!L383="1111",TH!M383="1111")),TH!D383,""),"")</f>
        <v/>
      </c>
      <c r="B383" s="36">
        <f t="shared" si="31"/>
        <v>9</v>
      </c>
      <c r="C383" s="184">
        <f t="shared" si="32"/>
        <v>41886</v>
      </c>
      <c r="D383" s="184" t="s">
        <v>960</v>
      </c>
      <c r="E383" s="191">
        <v>41886</v>
      </c>
      <c r="F383" s="192" t="s">
        <v>421</v>
      </c>
      <c r="G383" s="468" t="s">
        <v>672</v>
      </c>
      <c r="H383" s="7" t="s">
        <v>673</v>
      </c>
      <c r="I383" s="256"/>
      <c r="J383" s="256"/>
      <c r="K383" s="568">
        <v>675450</v>
      </c>
      <c r="L383" s="569" t="s">
        <v>253</v>
      </c>
      <c r="M383" s="569" t="s">
        <v>365</v>
      </c>
      <c r="N383" s="52" t="str">
        <f>IF(AND('331-CT'!$E$7=TH!H383,OR(L383="331",M383="331")),"331",IF(AND(OR(L383="131",M383="131"),H383='131-CT'!$E$7),"131",""))</f>
        <v/>
      </c>
      <c r="O383" s="89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15"/>
      <c r="AC383" s="560" t="str">
        <f>IF(VLOOKUP(H383,DS_131,1,0)&lt;&gt;"","","x")</f>
        <v/>
      </c>
      <c r="AD383" s="211"/>
      <c r="AE383" s="211"/>
    </row>
    <row r="384" spans="1:31" s="560" customFormat="1" ht="15.75" customHeight="1">
      <c r="A384" s="204" t="str">
        <f>IF(B384&lt;&gt;"",IF(AND(B384&gt;=_TM1,B384&lt;=_TM2,OR(TH!L384="1111",TH!M384="1111")),TH!D384,""),"")</f>
        <v/>
      </c>
      <c r="B384" s="36">
        <f t="shared" si="31"/>
        <v>9</v>
      </c>
      <c r="C384" s="184">
        <f t="shared" si="32"/>
        <v>41886</v>
      </c>
      <c r="D384" s="184" t="s">
        <v>961</v>
      </c>
      <c r="E384" s="191">
        <v>41886</v>
      </c>
      <c r="F384" s="192" t="s">
        <v>484</v>
      </c>
      <c r="G384" s="468" t="s">
        <v>674</v>
      </c>
      <c r="H384" s="7" t="s">
        <v>909</v>
      </c>
      <c r="I384" s="256">
        <v>197</v>
      </c>
      <c r="J384" s="256">
        <v>12900</v>
      </c>
      <c r="K384" s="568">
        <f>ROUND(I384*J384,0)</f>
        <v>2541300</v>
      </c>
      <c r="L384" s="569" t="s">
        <v>253</v>
      </c>
      <c r="M384" s="569" t="s">
        <v>177</v>
      </c>
      <c r="N384" s="52" t="str">
        <f>IF(AND('331-CT'!$E$7=TH!H384,OR(L384="331",M384="331")),"331",IF(AND(OR(L384="131",M384="131"),H384='131-CT'!$E$7),"131",""))</f>
        <v/>
      </c>
      <c r="O384" s="89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15"/>
      <c r="AC384" s="211" t="str">
        <f>IF(F384=VLOOKUP(F384,NXT!$C$12:$C$345,1,0),"","x")</f>
        <v/>
      </c>
      <c r="AD384" s="211"/>
      <c r="AE384" s="211"/>
    </row>
    <row r="385" spans="1:31" s="560" customFormat="1" ht="15.75" customHeight="1">
      <c r="A385" s="204" t="str">
        <f>IF(B385&lt;&gt;"",IF(AND(B385&gt;=_TM1,B385&lt;=_TM2,OR(TH!L385="1111",TH!M385="1111")),TH!D385,""),"")</f>
        <v/>
      </c>
      <c r="B385" s="36">
        <f t="shared" si="31"/>
        <v>9</v>
      </c>
      <c r="C385" s="184">
        <f t="shared" si="32"/>
        <v>41886</v>
      </c>
      <c r="D385" s="184" t="s">
        <v>961</v>
      </c>
      <c r="E385" s="191">
        <v>41886</v>
      </c>
      <c r="F385" s="192" t="s">
        <v>487</v>
      </c>
      <c r="G385" s="468" t="s">
        <v>674</v>
      </c>
      <c r="H385" s="7" t="s">
        <v>909</v>
      </c>
      <c r="I385" s="256">
        <v>307</v>
      </c>
      <c r="J385" s="256">
        <v>9900</v>
      </c>
      <c r="K385" s="568">
        <f>ROUND(I385*J385,0)</f>
        <v>3039300</v>
      </c>
      <c r="L385" s="569" t="s">
        <v>253</v>
      </c>
      <c r="M385" s="569" t="s">
        <v>177</v>
      </c>
      <c r="N385" s="52" t="str">
        <f>IF(AND('331-CT'!$E$7=TH!H385,OR(L385="331",M385="331")),"331",IF(AND(OR(L385="131",M385="131"),H385='131-CT'!$E$7),"131",""))</f>
        <v/>
      </c>
      <c r="O385" s="89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15"/>
      <c r="AC385" s="211" t="str">
        <f>IF(F385=VLOOKUP(F385,NXT!$C$12:$C$345,1,0),"","x")</f>
        <v/>
      </c>
      <c r="AD385" s="211"/>
      <c r="AE385" s="211"/>
    </row>
    <row r="386" spans="1:31" s="560" customFormat="1" ht="15.75" customHeight="1">
      <c r="A386" s="204" t="str">
        <f>IF(B386&lt;&gt;"",IF(AND(B386&gt;=_TM1,B386&lt;=_TM2,OR(TH!L386="1111",TH!M386="1111")),TH!D386,""),"")</f>
        <v/>
      </c>
      <c r="B386" s="36">
        <f t="shared" si="31"/>
        <v>9</v>
      </c>
      <c r="C386" s="184">
        <f t="shared" si="32"/>
        <v>41886</v>
      </c>
      <c r="D386" s="184" t="s">
        <v>961</v>
      </c>
      <c r="E386" s="191">
        <v>41886</v>
      </c>
      <c r="F386" s="192" t="s">
        <v>421</v>
      </c>
      <c r="G386" s="468" t="s">
        <v>674</v>
      </c>
      <c r="H386" s="7" t="s">
        <v>909</v>
      </c>
      <c r="I386" s="256"/>
      <c r="J386" s="256"/>
      <c r="K386" s="568">
        <v>558060</v>
      </c>
      <c r="L386" s="569" t="s">
        <v>253</v>
      </c>
      <c r="M386" s="569" t="s">
        <v>365</v>
      </c>
      <c r="N386" s="52" t="str">
        <f>IF(AND('331-CT'!$E$7=TH!H386,OR(L386="331",M386="331")),"331",IF(AND(OR(L386="131",M386="131"),H386='131-CT'!$E$7),"131",""))</f>
        <v/>
      </c>
      <c r="O386" s="89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15"/>
      <c r="AC386" s="560" t="str">
        <f>IF(VLOOKUP(H386,DS_131,1,0)&lt;&gt;"","","x")</f>
        <v/>
      </c>
      <c r="AD386" s="211"/>
      <c r="AE386" s="211"/>
    </row>
    <row r="387" spans="1:31" s="560" customFormat="1" ht="15.75" customHeight="1">
      <c r="A387" s="204" t="str">
        <f>IF(B387&lt;&gt;"",IF(AND(B387&gt;=_TM1,B387&lt;=_TM2,OR(TH!L387="1111",TH!M387="1111")),TH!D387,""),"")</f>
        <v/>
      </c>
      <c r="B387" s="36">
        <f t="shared" si="31"/>
        <v>9</v>
      </c>
      <c r="C387" s="184">
        <f t="shared" si="32"/>
        <v>41890</v>
      </c>
      <c r="D387" s="184" t="s">
        <v>962</v>
      </c>
      <c r="E387" s="191">
        <v>41890</v>
      </c>
      <c r="F387" s="192" t="s">
        <v>675</v>
      </c>
      <c r="G387" s="468" t="s">
        <v>676</v>
      </c>
      <c r="H387" s="7" t="s">
        <v>442</v>
      </c>
      <c r="I387" s="256">
        <v>860</v>
      </c>
      <c r="J387" s="256">
        <v>18600</v>
      </c>
      <c r="K387" s="568">
        <f>ROUND(I387*J387,0)</f>
        <v>15996000</v>
      </c>
      <c r="L387" s="569" t="s">
        <v>253</v>
      </c>
      <c r="M387" s="569" t="s">
        <v>177</v>
      </c>
      <c r="N387" s="52" t="str">
        <f>IF(AND('331-CT'!$E$7=TH!H387,OR(L387="331",M387="331")),"331",IF(AND(OR(L387="131",M387="131"),H387='131-CT'!$E$7),"131",""))</f>
        <v/>
      </c>
      <c r="O387" s="89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15"/>
      <c r="AC387" s="211" t="str">
        <f>IF(F387=VLOOKUP(F387,NXT!$C$12:$C$345,1,0),"","x")</f>
        <v/>
      </c>
      <c r="AD387" s="211"/>
      <c r="AE387" s="211"/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31"/>
        <v>9</v>
      </c>
      <c r="C388" s="184">
        <f t="shared" si="32"/>
        <v>41890</v>
      </c>
      <c r="D388" s="184" t="s">
        <v>962</v>
      </c>
      <c r="E388" s="191">
        <v>41890</v>
      </c>
      <c r="F388" s="192" t="s">
        <v>421</v>
      </c>
      <c r="G388" s="468" t="s">
        <v>676</v>
      </c>
      <c r="H388" s="7" t="s">
        <v>442</v>
      </c>
      <c r="I388" s="256"/>
      <c r="J388" s="256"/>
      <c r="K388" s="568">
        <v>1599600</v>
      </c>
      <c r="L388" s="569" t="s">
        <v>253</v>
      </c>
      <c r="M388" s="569" t="s">
        <v>365</v>
      </c>
      <c r="N388" s="52" t="str">
        <f>IF(AND('331-CT'!$E$7=TH!H388,OR(L388="331",M388="331")),"331",IF(AND(OR(L388="131",M388="131"),H388='131-CT'!$E$7),"131",""))</f>
        <v/>
      </c>
      <c r="O388" s="89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15"/>
      <c r="AC388" s="560" t="str">
        <f>IF(VLOOKUP(H388,DS_131,1,0)&lt;&gt;"","","x")</f>
        <v/>
      </c>
    </row>
    <row r="389" spans="1:31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31"/>
        <v>9</v>
      </c>
      <c r="C389" s="184">
        <f t="shared" si="32"/>
        <v>41890</v>
      </c>
      <c r="D389" s="184" t="s">
        <v>963</v>
      </c>
      <c r="E389" s="191">
        <v>41890</v>
      </c>
      <c r="F389" s="192" t="s">
        <v>664</v>
      </c>
      <c r="G389" s="468" t="s">
        <v>677</v>
      </c>
      <c r="H389" s="7" t="s">
        <v>603</v>
      </c>
      <c r="I389" s="256">
        <v>2153</v>
      </c>
      <c r="J389" s="256">
        <v>13650</v>
      </c>
      <c r="K389" s="568">
        <f>ROUND(I389*J389,0)</f>
        <v>29388450</v>
      </c>
      <c r="L389" s="569" t="s">
        <v>253</v>
      </c>
      <c r="M389" s="569" t="s">
        <v>177</v>
      </c>
      <c r="N389" s="52" t="str">
        <f>IF(AND('331-CT'!$E$7=TH!H389,OR(L389="331",M389="331")),"331",IF(AND(OR(L389="131",M389="131"),H389='131-CT'!$E$7),"131",""))</f>
        <v/>
      </c>
      <c r="O389" s="89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15"/>
      <c r="AC389" s="211" t="str">
        <f>IF(F389=VLOOKUP(F389,NXT!$C$12:$C$345,1,0),"","x")</f>
        <v/>
      </c>
    </row>
    <row r="390" spans="1:31" s="560" customFormat="1" ht="15.75" customHeight="1">
      <c r="A390" s="204" t="str">
        <f>IF(B390&lt;&gt;"",IF(AND(B390&gt;=_TM1,B390&lt;=_TM2,OR(TH!L390="1111",TH!M390="1111")),TH!D390,""),"")</f>
        <v/>
      </c>
      <c r="B390" s="36">
        <f t="shared" si="31"/>
        <v>9</v>
      </c>
      <c r="C390" s="184">
        <f t="shared" si="32"/>
        <v>41890</v>
      </c>
      <c r="D390" s="184" t="s">
        <v>963</v>
      </c>
      <c r="E390" s="191">
        <v>41890</v>
      </c>
      <c r="F390" s="192" t="s">
        <v>624</v>
      </c>
      <c r="G390" s="468" t="s">
        <v>677</v>
      </c>
      <c r="H390" s="7" t="s">
        <v>603</v>
      </c>
      <c r="I390" s="256">
        <v>2000</v>
      </c>
      <c r="J390" s="256">
        <v>400</v>
      </c>
      <c r="K390" s="568">
        <f>ROUND(I390*J390,0)</f>
        <v>800000</v>
      </c>
      <c r="L390" s="569" t="s">
        <v>253</v>
      </c>
      <c r="M390" s="569" t="s">
        <v>177</v>
      </c>
      <c r="N390" s="52" t="str">
        <f>IF(AND('331-CT'!$E$7=TH!H390,OR(L390="331",M390="331")),"331",IF(AND(OR(L390="131",M390="131"),H390='131-CT'!$E$7),"131",""))</f>
        <v/>
      </c>
      <c r="O390" s="89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15"/>
      <c r="AC390" s="211" t="str">
        <f>IF(F390=VLOOKUP(F390,NXT!$C$12:$C$345,1,0),"","x")</f>
        <v/>
      </c>
      <c r="AD390" s="211"/>
      <c r="AE390" s="211"/>
    </row>
    <row r="391" spans="1:31" s="560" customFormat="1" ht="15.75" customHeight="1">
      <c r="A391" s="204" t="str">
        <f>IF(B391&lt;&gt;"",IF(AND(B391&gt;=_TM1,B391&lt;=_TM2,OR(TH!L391="1111",TH!M391="1111")),TH!D391,""),"")</f>
        <v/>
      </c>
      <c r="B391" s="36">
        <f t="shared" si="31"/>
        <v>9</v>
      </c>
      <c r="C391" s="184">
        <f t="shared" si="32"/>
        <v>41890</v>
      </c>
      <c r="D391" s="184" t="s">
        <v>963</v>
      </c>
      <c r="E391" s="191">
        <v>41890</v>
      </c>
      <c r="F391" s="192" t="s">
        <v>421</v>
      </c>
      <c r="G391" s="468" t="s">
        <v>677</v>
      </c>
      <c r="H391" s="7" t="s">
        <v>603</v>
      </c>
      <c r="I391" s="256"/>
      <c r="J391" s="256"/>
      <c r="K391" s="568">
        <v>3018845</v>
      </c>
      <c r="L391" s="569" t="s">
        <v>253</v>
      </c>
      <c r="M391" s="569" t="s">
        <v>365</v>
      </c>
      <c r="N391" s="52" t="str">
        <f>IF(AND('331-CT'!$E$7=TH!H391,OR(L391="331",M391="331")),"331",IF(AND(OR(L391="131",M391="131"),H391='131-CT'!$E$7),"131",""))</f>
        <v/>
      </c>
      <c r="O391" s="89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15"/>
      <c r="AC391" s="560" t="str">
        <f>IF(VLOOKUP(H391,DS_131,1,0)&lt;&gt;"","","x")</f>
        <v/>
      </c>
      <c r="AD391" s="211"/>
      <c r="AE391" s="211"/>
    </row>
    <row r="392" spans="1:31" s="560" customFormat="1" ht="15.75" customHeight="1">
      <c r="A392" s="204" t="str">
        <f>IF(B392&lt;&gt;"",IF(AND(B392&gt;=_TM1,B392&lt;=_TM2,OR(TH!L392="1111",TH!M392="1111")),TH!D392,""),"")</f>
        <v/>
      </c>
      <c r="B392" s="36">
        <f t="shared" si="31"/>
        <v>9</v>
      </c>
      <c r="C392" s="184">
        <f t="shared" si="32"/>
        <v>41890</v>
      </c>
      <c r="D392" s="184" t="s">
        <v>964</v>
      </c>
      <c r="E392" s="191">
        <v>41890</v>
      </c>
      <c r="F392" s="192" t="s">
        <v>1162</v>
      </c>
      <c r="G392" s="468" t="s">
        <v>678</v>
      </c>
      <c r="H392" s="7" t="s">
        <v>655</v>
      </c>
      <c r="I392" s="256">
        <v>1000</v>
      </c>
      <c r="J392" s="256">
        <v>1500</v>
      </c>
      <c r="K392" s="568">
        <f>ROUND(I392*J392,0)</f>
        <v>1500000</v>
      </c>
      <c r="L392" s="569" t="s">
        <v>253</v>
      </c>
      <c r="M392" s="569" t="s">
        <v>177</v>
      </c>
      <c r="N392" s="52" t="str">
        <f>IF(AND('331-CT'!$E$7=TH!H392,OR(L392="331",M392="331")),"331",IF(AND(OR(L392="131",M392="131"),H392='131-CT'!$E$7),"131",""))</f>
        <v/>
      </c>
      <c r="O392" s="89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15"/>
      <c r="AC392" s="211" t="str">
        <f>IF(F392=VLOOKUP(F392,NXT!$C$12:$C$345,1,0),"","x")</f>
        <v/>
      </c>
      <c r="AD392" s="211"/>
      <c r="AE392" s="211"/>
    </row>
    <row r="393" spans="1:31" s="560" customFormat="1" ht="15.75" customHeight="1">
      <c r="A393" s="204" t="str">
        <f>IF(B393&lt;&gt;"",IF(AND(B393&gt;=_TM1,B393&lt;=_TM2,OR(TH!L393="1111",TH!M393="1111")),TH!D393,""),"")</f>
        <v/>
      </c>
      <c r="B393" s="36">
        <f t="shared" si="31"/>
        <v>9</v>
      </c>
      <c r="C393" s="184">
        <f t="shared" si="32"/>
        <v>41890</v>
      </c>
      <c r="D393" s="184" t="s">
        <v>964</v>
      </c>
      <c r="E393" s="191">
        <v>41890</v>
      </c>
      <c r="F393" s="192" t="s">
        <v>679</v>
      </c>
      <c r="G393" s="468" t="s">
        <v>678</v>
      </c>
      <c r="H393" s="7" t="s">
        <v>655</v>
      </c>
      <c r="I393" s="256"/>
      <c r="J393" s="256"/>
      <c r="K393" s="568">
        <v>150000</v>
      </c>
      <c r="L393" s="569" t="s">
        <v>253</v>
      </c>
      <c r="M393" s="569" t="s">
        <v>365</v>
      </c>
      <c r="N393" s="52" t="str">
        <f>IF(AND('331-CT'!$E$7=TH!H393,OR(L393="331",M393="331")),"331",IF(AND(OR(L393="131",M393="131"),H393='131-CT'!$E$7),"131",""))</f>
        <v/>
      </c>
      <c r="O393" s="89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15"/>
      <c r="AC393" s="560" t="str">
        <f>IF(VLOOKUP(H393,DS_131,1,0)&lt;&gt;"","","x")</f>
        <v/>
      </c>
      <c r="AD393" s="211"/>
      <c r="AE393" s="211"/>
    </row>
    <row r="394" spans="1:31" s="560" customFormat="1" ht="15.75" customHeight="1">
      <c r="A394" s="204" t="str">
        <f>IF(B394&lt;&gt;"",IF(AND(B394&gt;=_TM1,B394&lt;=_TM2,OR(TH!L394="1111",TH!M394="1111")),TH!D394,""),"")</f>
        <v/>
      </c>
      <c r="B394" s="36">
        <f t="shared" si="31"/>
        <v>9</v>
      </c>
      <c r="C394" s="184">
        <f t="shared" si="32"/>
        <v>41894</v>
      </c>
      <c r="D394" s="184" t="s">
        <v>965</v>
      </c>
      <c r="E394" s="191">
        <v>41894</v>
      </c>
      <c r="F394" s="192" t="s">
        <v>594</v>
      </c>
      <c r="G394" s="468" t="s">
        <v>680</v>
      </c>
      <c r="H394" s="7" t="s">
        <v>473</v>
      </c>
      <c r="I394" s="256">
        <v>210</v>
      </c>
      <c r="J394" s="256">
        <v>19000</v>
      </c>
      <c r="K394" s="568">
        <f>ROUND(I394*J394,0)</f>
        <v>3990000</v>
      </c>
      <c r="L394" s="569" t="s">
        <v>253</v>
      </c>
      <c r="M394" s="569" t="s">
        <v>177</v>
      </c>
      <c r="N394" s="52" t="str">
        <f>IF(AND('331-CT'!$E$7=TH!H394,OR(L394="331",M394="331")),"331",IF(AND(OR(L394="131",M394="131"),H394='131-CT'!$E$7),"131",""))</f>
        <v/>
      </c>
      <c r="O394" s="89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15"/>
      <c r="AC394" s="211" t="str">
        <f>IF(F394=VLOOKUP(F394,NXT!$C$12:$C$345,1,0),"","x")</f>
        <v/>
      </c>
      <c r="AD394" s="211"/>
      <c r="AE394" s="211"/>
    </row>
    <row r="395" spans="1:31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31"/>
        <v>9</v>
      </c>
      <c r="C395" s="184">
        <f t="shared" si="32"/>
        <v>41894</v>
      </c>
      <c r="D395" s="184" t="s">
        <v>965</v>
      </c>
      <c r="E395" s="191">
        <v>41894</v>
      </c>
      <c r="F395" s="192" t="s">
        <v>421</v>
      </c>
      <c r="G395" s="468" t="s">
        <v>680</v>
      </c>
      <c r="H395" s="7" t="s">
        <v>473</v>
      </c>
      <c r="I395" s="256"/>
      <c r="J395" s="256"/>
      <c r="K395" s="568">
        <v>399000</v>
      </c>
      <c r="L395" s="569" t="s">
        <v>253</v>
      </c>
      <c r="M395" s="569" t="s">
        <v>365</v>
      </c>
      <c r="N395" s="52" t="str">
        <f>IF(AND('331-CT'!$E$7=TH!H395,OR(L395="331",M395="331")),"331",IF(AND(OR(L395="131",M395="131"),H395='131-CT'!$E$7),"131",""))</f>
        <v/>
      </c>
      <c r="O395" s="89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15"/>
      <c r="AC395" s="560" t="str">
        <f>IF(VLOOKUP(H395,DS_131,1,0)&lt;&gt;"","","x")</f>
        <v/>
      </c>
    </row>
    <row r="396" spans="1:31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31"/>
        <v>9</v>
      </c>
      <c r="C396" s="184">
        <f t="shared" si="32"/>
        <v>41895</v>
      </c>
      <c r="D396" s="184" t="s">
        <v>966</v>
      </c>
      <c r="E396" s="191">
        <v>41895</v>
      </c>
      <c r="F396" s="189" t="s">
        <v>1211</v>
      </c>
      <c r="G396" s="468" t="s">
        <v>681</v>
      </c>
      <c r="H396" s="7" t="s">
        <v>908</v>
      </c>
      <c r="I396" s="256">
        <v>200</v>
      </c>
      <c r="J396" s="256">
        <v>13900</v>
      </c>
      <c r="K396" s="568">
        <f>ROUND(I396*J396,0)</f>
        <v>2780000</v>
      </c>
      <c r="L396" s="569" t="s">
        <v>253</v>
      </c>
      <c r="M396" s="569" t="s">
        <v>177</v>
      </c>
      <c r="N396" s="52" t="str">
        <f>IF(AND('331-CT'!$E$7=TH!H396,OR(L396="331",M396="331")),"331",IF(AND(OR(L396="131",M396="131"),H396='131-CT'!$E$7),"131",""))</f>
        <v/>
      </c>
      <c r="O396" s="89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15"/>
      <c r="AC396" s="211" t="str">
        <f>IF(F396=VLOOKUP(F396,NXT!$C$12:$C$345,1,0),"","x")</f>
        <v/>
      </c>
    </row>
    <row r="397" spans="1:31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31"/>
        <v>9</v>
      </c>
      <c r="C397" s="184">
        <f t="shared" si="32"/>
        <v>41895</v>
      </c>
      <c r="D397" s="184" t="s">
        <v>966</v>
      </c>
      <c r="E397" s="191">
        <v>41895</v>
      </c>
      <c r="F397" s="189" t="s">
        <v>1211</v>
      </c>
      <c r="G397" s="468" t="s">
        <v>681</v>
      </c>
      <c r="H397" s="7" t="s">
        <v>908</v>
      </c>
      <c r="I397" s="256">
        <v>989</v>
      </c>
      <c r="J397" s="256">
        <v>14300</v>
      </c>
      <c r="K397" s="568">
        <f>ROUND(I397*J397,0)</f>
        <v>14142700</v>
      </c>
      <c r="L397" s="569" t="s">
        <v>253</v>
      </c>
      <c r="M397" s="569" t="s">
        <v>177</v>
      </c>
      <c r="N397" s="52" t="str">
        <f>IF(AND('331-CT'!$E$7=TH!H397,OR(L397="331",M397="331")),"331",IF(AND(OR(L397="131",M397="131"),H397='131-CT'!$E$7),"131",""))</f>
        <v/>
      </c>
      <c r="O397" s="89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15"/>
      <c r="AC397" s="211" t="str">
        <f>IF(F397=VLOOKUP(F397,NXT!$C$12:$C$345,1,0),"","x")</f>
        <v/>
      </c>
    </row>
    <row r="398" spans="1:31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31"/>
        <v>9</v>
      </c>
      <c r="C398" s="184">
        <f t="shared" si="32"/>
        <v>41895</v>
      </c>
      <c r="D398" s="184" t="s">
        <v>966</v>
      </c>
      <c r="E398" s="191">
        <v>41895</v>
      </c>
      <c r="F398" s="40" t="s">
        <v>446</v>
      </c>
      <c r="G398" s="468" t="s">
        <v>681</v>
      </c>
      <c r="H398" s="7" t="s">
        <v>908</v>
      </c>
      <c r="I398" s="256">
        <v>2400</v>
      </c>
      <c r="J398" s="256">
        <v>1500</v>
      </c>
      <c r="K398" s="568">
        <f>ROUND(I398*J398,0)</f>
        <v>3600000</v>
      </c>
      <c r="L398" s="569" t="s">
        <v>253</v>
      </c>
      <c r="M398" s="569" t="s">
        <v>177</v>
      </c>
      <c r="N398" s="52" t="str">
        <f>IF(AND('331-CT'!$E$7=TH!H398,OR(L398="331",M398="331")),"331",IF(AND(OR(L398="131",M398="131"),H398='131-CT'!$E$7),"131",""))</f>
        <v/>
      </c>
      <c r="O398" s="89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15"/>
      <c r="AC398" s="211" t="str">
        <f>IF(F398=VLOOKUP(F398,NXT!$C$12:$C$345,1,0),"","x")</f>
        <v/>
      </c>
    </row>
    <row r="399" spans="1:31" s="560" customFormat="1" ht="15.75" customHeight="1">
      <c r="A399" s="204" t="str">
        <f>IF(B399&lt;&gt;"",IF(AND(B399&gt;=_TM1,B399&lt;=_TM2,OR(TH!L399="1111",TH!M399="1111")),TH!D399,""),"")</f>
        <v/>
      </c>
      <c r="B399" s="36">
        <f t="shared" si="31"/>
        <v>9</v>
      </c>
      <c r="C399" s="184">
        <f t="shared" si="32"/>
        <v>41895</v>
      </c>
      <c r="D399" s="184" t="s">
        <v>966</v>
      </c>
      <c r="E399" s="191">
        <v>41895</v>
      </c>
      <c r="F399" s="192" t="s">
        <v>421</v>
      </c>
      <c r="G399" s="468" t="s">
        <v>681</v>
      </c>
      <c r="H399" s="7" t="s">
        <v>908</v>
      </c>
      <c r="I399" s="256"/>
      <c r="J399" s="256"/>
      <c r="K399" s="568">
        <v>2052270</v>
      </c>
      <c r="L399" s="569" t="s">
        <v>253</v>
      </c>
      <c r="M399" s="569" t="s">
        <v>365</v>
      </c>
      <c r="N399" s="52" t="str">
        <f>IF(AND('331-CT'!$E$7=TH!H399,OR(L399="331",M399="331")),"331",IF(AND(OR(L399="131",M399="131"),H399='131-CT'!$E$7),"131",""))</f>
        <v/>
      </c>
      <c r="O399" s="89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15"/>
      <c r="AC399" s="560" t="str">
        <f>IF(VLOOKUP(H399,DS_131,1,0)&lt;&gt;"","","x")</f>
        <v/>
      </c>
      <c r="AD399" s="211"/>
      <c r="AE399" s="211"/>
    </row>
    <row r="400" spans="1:31" s="560" customFormat="1" ht="15.75" customHeight="1">
      <c r="A400" s="204" t="str">
        <f>IF(B400&lt;&gt;"",IF(AND(B400&gt;=_TM1,B400&lt;=_TM2,OR(TH!L400="1111",TH!M400="1111")),TH!D400,""),"")</f>
        <v/>
      </c>
      <c r="B400" s="36">
        <f t="shared" si="31"/>
        <v>9</v>
      </c>
      <c r="C400" s="184">
        <f t="shared" si="32"/>
        <v>41897</v>
      </c>
      <c r="D400" s="184" t="s">
        <v>967</v>
      </c>
      <c r="E400" s="191">
        <v>41897</v>
      </c>
      <c r="F400" s="192" t="s">
        <v>437</v>
      </c>
      <c r="G400" s="468" t="s">
        <v>682</v>
      </c>
      <c r="H400" s="7" t="s">
        <v>439</v>
      </c>
      <c r="I400" s="256">
        <v>495</v>
      </c>
      <c r="J400" s="256">
        <v>10500</v>
      </c>
      <c r="K400" s="568">
        <f>ROUND(I400*J400,0)</f>
        <v>5197500</v>
      </c>
      <c r="L400" s="569" t="s">
        <v>253</v>
      </c>
      <c r="M400" s="569" t="s">
        <v>177</v>
      </c>
      <c r="N400" s="52" t="str">
        <f>IF(AND('331-CT'!$E$7=TH!H400,OR(L400="331",M400="331")),"331",IF(AND(OR(L400="131",M400="131"),H400='131-CT'!$E$7),"131",""))</f>
        <v/>
      </c>
      <c r="O400" s="89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15"/>
      <c r="AC400" s="211" t="str">
        <f>IF(F400=VLOOKUP(F400,NXT!$C$12:$C$345,1,0),"","x")</f>
        <v/>
      </c>
      <c r="AD400" s="211"/>
      <c r="AE400" s="211"/>
    </row>
    <row r="401" spans="1:31" s="560" customFormat="1" ht="15.75" customHeight="1">
      <c r="A401" s="204" t="str">
        <f>IF(B401&lt;&gt;"",IF(AND(B401&gt;=_TM1,B401&lt;=_TM2,OR(TH!L401="1111",TH!M401="1111")),TH!D401,""),"")</f>
        <v/>
      </c>
      <c r="B401" s="36">
        <f t="shared" si="31"/>
        <v>9</v>
      </c>
      <c r="C401" s="184">
        <f t="shared" si="32"/>
        <v>41897</v>
      </c>
      <c r="D401" s="184" t="s">
        <v>967</v>
      </c>
      <c r="E401" s="191">
        <v>41897</v>
      </c>
      <c r="F401" s="192" t="s">
        <v>421</v>
      </c>
      <c r="G401" s="468" t="s">
        <v>682</v>
      </c>
      <c r="H401" s="7" t="s">
        <v>439</v>
      </c>
      <c r="I401" s="256"/>
      <c r="J401" s="256"/>
      <c r="K401" s="568">
        <v>519750</v>
      </c>
      <c r="L401" s="569" t="s">
        <v>253</v>
      </c>
      <c r="M401" s="569" t="s">
        <v>365</v>
      </c>
      <c r="N401" s="52" t="str">
        <f>IF(AND('331-CT'!$E$7=TH!H401,OR(L401="331",M401="331")),"331",IF(AND(OR(L401="131",M401="131"),H401='131-CT'!$E$7),"131",""))</f>
        <v/>
      </c>
      <c r="O401" s="89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15"/>
      <c r="AC401" s="560" t="str">
        <f>IF(VLOOKUP(H401,DS_131,1,0)&lt;&gt;"","","x")</f>
        <v/>
      </c>
      <c r="AD401" s="211"/>
      <c r="AE401" s="211"/>
    </row>
    <row r="402" spans="1:31" s="560" customFormat="1" ht="15.75" customHeight="1">
      <c r="A402" s="204" t="str">
        <f>IF(B402&lt;&gt;"",IF(AND(B402&gt;=_TM1,B402&lt;=_TM2,OR(TH!L402="1111",TH!M402="1111")),TH!D402,""),"")</f>
        <v/>
      </c>
      <c r="B402" s="36">
        <f t="shared" si="31"/>
        <v>9</v>
      </c>
      <c r="C402" s="184">
        <f t="shared" si="32"/>
        <v>41898</v>
      </c>
      <c r="D402" s="184" t="s">
        <v>968</v>
      </c>
      <c r="E402" s="191">
        <v>41898</v>
      </c>
      <c r="F402" s="192" t="s">
        <v>683</v>
      </c>
      <c r="G402" s="468" t="s">
        <v>684</v>
      </c>
      <c r="H402" s="7" t="s">
        <v>685</v>
      </c>
      <c r="I402" s="256">
        <v>451</v>
      </c>
      <c r="J402" s="256">
        <v>34770</v>
      </c>
      <c r="K402" s="568">
        <f>ROUND(I402*J402,0)</f>
        <v>15681270</v>
      </c>
      <c r="L402" s="569" t="s">
        <v>253</v>
      </c>
      <c r="M402" s="569" t="s">
        <v>177</v>
      </c>
      <c r="N402" s="52" t="str">
        <f>IF(AND('331-CT'!$E$7=TH!H402,OR(L402="331",M402="331")),"331",IF(AND(OR(L402="131",M402="131"),H402='131-CT'!$E$7),"131",""))</f>
        <v/>
      </c>
      <c r="O402" s="89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15"/>
      <c r="AC402" s="211" t="str">
        <f>IF(F402=VLOOKUP(F402,NXT!$C$12:$C$345,1,0),"","x")</f>
        <v/>
      </c>
      <c r="AD402" s="211"/>
      <c r="AE402" s="211"/>
    </row>
    <row r="403" spans="1:31" s="560" customFormat="1" ht="15.75" customHeight="1">
      <c r="A403" s="204" t="str">
        <f>IF(B403&lt;&gt;"",IF(AND(B403&gt;=_TM1,B403&lt;=_TM2,OR(TH!L403="1111",TH!M403="1111")),TH!D403,""),"")</f>
        <v/>
      </c>
      <c r="B403" s="36">
        <f t="shared" si="31"/>
        <v>9</v>
      </c>
      <c r="C403" s="184">
        <f t="shared" si="32"/>
        <v>41898</v>
      </c>
      <c r="D403" s="184" t="s">
        <v>968</v>
      </c>
      <c r="E403" s="191">
        <v>41898</v>
      </c>
      <c r="F403" s="192" t="s">
        <v>747</v>
      </c>
      <c r="G403" s="468" t="s">
        <v>684</v>
      </c>
      <c r="H403" s="7" t="s">
        <v>685</v>
      </c>
      <c r="I403" s="256">
        <v>902</v>
      </c>
      <c r="J403" s="256">
        <v>1440</v>
      </c>
      <c r="K403" s="568">
        <f>ROUND(I403*J403,0)</f>
        <v>1298880</v>
      </c>
      <c r="L403" s="569" t="s">
        <v>253</v>
      </c>
      <c r="M403" s="569" t="s">
        <v>177</v>
      </c>
      <c r="N403" s="52" t="str">
        <f>IF(AND('331-CT'!$E$7=TH!H403,OR(L403="331",M403="331")),"331",IF(AND(OR(L403="131",M403="131"),H403='131-CT'!$E$7),"131",""))</f>
        <v/>
      </c>
      <c r="O403" s="89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15"/>
      <c r="AC403" s="211" t="str">
        <f>IF(F403=VLOOKUP(F403,NXT!$C$12:$C$345,1,0),"","x")</f>
        <v/>
      </c>
      <c r="AD403" s="211"/>
      <c r="AE403" s="211"/>
    </row>
    <row r="404" spans="1:31" s="560" customFormat="1" ht="15.75" customHeight="1">
      <c r="A404" s="204" t="str">
        <f>IF(B404&lt;&gt;"",IF(AND(B404&gt;=_TM1,B404&lt;=_TM2,OR(TH!L404="1111",TH!M404="1111")),TH!D404,""),"")</f>
        <v/>
      </c>
      <c r="B404" s="36">
        <f t="shared" si="31"/>
        <v>9</v>
      </c>
      <c r="C404" s="184">
        <f t="shared" si="32"/>
        <v>41898</v>
      </c>
      <c r="D404" s="184" t="s">
        <v>968</v>
      </c>
      <c r="E404" s="191">
        <v>41898</v>
      </c>
      <c r="F404" s="192" t="s">
        <v>421</v>
      </c>
      <c r="G404" s="468" t="s">
        <v>684</v>
      </c>
      <c r="H404" s="7" t="s">
        <v>685</v>
      </c>
      <c r="I404" s="256"/>
      <c r="J404" s="256"/>
      <c r="K404" s="568">
        <v>1698015</v>
      </c>
      <c r="L404" s="569" t="s">
        <v>253</v>
      </c>
      <c r="M404" s="569" t="s">
        <v>365</v>
      </c>
      <c r="N404" s="52" t="str">
        <f>IF(AND('331-CT'!$E$7=TH!H404,OR(L404="331",M404="331")),"331",IF(AND(OR(L404="131",M404="131"),H404='131-CT'!$E$7),"131",""))</f>
        <v/>
      </c>
      <c r="O404" s="89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15"/>
      <c r="AC404" s="560" t="str">
        <f>IF(VLOOKUP(H404,DS_131,1,0)&lt;&gt;"","","x")</f>
        <v/>
      </c>
      <c r="AD404" s="211"/>
      <c r="AE404" s="211"/>
    </row>
    <row r="405" spans="1:31" s="560" customFormat="1" ht="15.75" customHeight="1">
      <c r="A405" s="204" t="str">
        <f>IF(B405&lt;&gt;"",IF(AND(B405&gt;=_TM1,B405&lt;=_TM2,OR(TH!L405="1111",TH!M405="1111")),TH!D405,""),"")</f>
        <v/>
      </c>
      <c r="B405" s="36">
        <f t="shared" si="31"/>
        <v>9</v>
      </c>
      <c r="C405" s="184">
        <f t="shared" si="32"/>
        <v>41898</v>
      </c>
      <c r="D405" s="184" t="s">
        <v>969</v>
      </c>
      <c r="E405" s="191">
        <v>41898</v>
      </c>
      <c r="F405" s="192" t="s">
        <v>664</v>
      </c>
      <c r="G405" s="468" t="s">
        <v>686</v>
      </c>
      <c r="H405" s="7" t="s">
        <v>603</v>
      </c>
      <c r="I405" s="256">
        <v>175</v>
      </c>
      <c r="J405" s="256">
        <v>13650</v>
      </c>
      <c r="K405" s="568">
        <f>ROUND(I405*J405,0)</f>
        <v>2388750</v>
      </c>
      <c r="L405" s="569" t="s">
        <v>253</v>
      </c>
      <c r="M405" s="569" t="s">
        <v>177</v>
      </c>
      <c r="N405" s="52" t="str">
        <f>IF(AND('331-CT'!$E$7=TH!H405,OR(L405="331",M405="331")),"331",IF(AND(OR(L405="131",M405="131"),H405='131-CT'!$E$7),"131",""))</f>
        <v/>
      </c>
      <c r="O405" s="89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15"/>
      <c r="AC405" s="211" t="str">
        <f>IF(F405=VLOOKUP(F405,NXT!$C$12:$C$345,1,0),"","x")</f>
        <v/>
      </c>
      <c r="AD405" s="211"/>
      <c r="AE405" s="211"/>
    </row>
    <row r="406" spans="1:31" s="560" customFormat="1" ht="15.75" customHeight="1">
      <c r="A406" s="204" t="str">
        <f>IF(B406&lt;&gt;"",IF(AND(B406&gt;=_TM1,B406&lt;=_TM2,OR(TH!L406="1111",TH!M406="1111")),TH!D406,""),"")</f>
        <v/>
      </c>
      <c r="B406" s="36">
        <f t="shared" si="31"/>
        <v>9</v>
      </c>
      <c r="C406" s="184">
        <f t="shared" si="32"/>
        <v>41898</v>
      </c>
      <c r="D406" s="184" t="s">
        <v>969</v>
      </c>
      <c r="E406" s="191">
        <v>41898</v>
      </c>
      <c r="F406" s="192" t="s">
        <v>664</v>
      </c>
      <c r="G406" s="468" t="s">
        <v>686</v>
      </c>
      <c r="H406" s="7" t="s">
        <v>603</v>
      </c>
      <c r="I406" s="256">
        <v>1686</v>
      </c>
      <c r="J406" s="256">
        <v>13650</v>
      </c>
      <c r="K406" s="568">
        <f>ROUND(I406*J406,0)</f>
        <v>23013900</v>
      </c>
      <c r="L406" s="569" t="s">
        <v>253</v>
      </c>
      <c r="M406" s="569" t="s">
        <v>177</v>
      </c>
      <c r="N406" s="52" t="str">
        <f>IF(AND('331-CT'!$E$7=TH!H406,OR(L406="331",M406="331")),"331",IF(AND(OR(L406="131",M406="131"),H406='131-CT'!$E$7),"131",""))</f>
        <v/>
      </c>
      <c r="O406" s="89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15"/>
      <c r="AC406" s="211" t="str">
        <f>IF(F406=VLOOKUP(F406,NXT!$C$12:$C$345,1,0),"","x")</f>
        <v/>
      </c>
      <c r="AD406" s="211"/>
      <c r="AE406" s="211"/>
    </row>
    <row r="407" spans="1:31" s="560" customFormat="1" ht="15.75" customHeight="1">
      <c r="A407" s="204" t="str">
        <f>IF(B407&lt;&gt;"",IF(AND(B407&gt;=_TM1,B407&lt;=_TM2,OR(TH!L407="1111",TH!M407="1111")),TH!D407,""),"")</f>
        <v/>
      </c>
      <c r="B407" s="36">
        <f t="shared" si="31"/>
        <v>9</v>
      </c>
      <c r="C407" s="184">
        <f t="shared" si="32"/>
        <v>41898</v>
      </c>
      <c r="D407" s="184" t="s">
        <v>969</v>
      </c>
      <c r="E407" s="191">
        <v>41898</v>
      </c>
      <c r="F407" s="192" t="s">
        <v>663</v>
      </c>
      <c r="G407" s="468" t="s">
        <v>686</v>
      </c>
      <c r="H407" s="7" t="s">
        <v>603</v>
      </c>
      <c r="I407" s="256">
        <v>827</v>
      </c>
      <c r="J407" s="256">
        <v>10050</v>
      </c>
      <c r="K407" s="568">
        <f>ROUND(I407*J407,0)</f>
        <v>8311350</v>
      </c>
      <c r="L407" s="569" t="s">
        <v>253</v>
      </c>
      <c r="M407" s="569" t="s">
        <v>177</v>
      </c>
      <c r="N407" s="52" t="str">
        <f>IF(AND('331-CT'!$E$7=TH!H407,OR(L407="331",M407="331")),"331",IF(AND(OR(L407="131",M407="131"),H407='131-CT'!$E$7),"131",""))</f>
        <v/>
      </c>
      <c r="O407" s="89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15"/>
      <c r="AC407" s="211" t="str">
        <f>IF(F407=VLOOKUP(F407,NXT!$C$12:$C$345,1,0),"","x")</f>
        <v/>
      </c>
      <c r="AD407" s="211"/>
      <c r="AE407" s="211"/>
    </row>
    <row r="408" spans="1:31" s="560" customFormat="1" ht="15.75" customHeight="1">
      <c r="A408" s="204" t="str">
        <f>IF(B408&lt;&gt;"",IF(AND(B408&gt;=_TM1,B408&lt;=_TM2,OR(TH!L408="1111",TH!M408="1111")),TH!D408,""),"")</f>
        <v/>
      </c>
      <c r="B408" s="36">
        <f t="shared" si="31"/>
        <v>9</v>
      </c>
      <c r="C408" s="184">
        <f t="shared" si="32"/>
        <v>41898</v>
      </c>
      <c r="D408" s="184" t="s">
        <v>969</v>
      </c>
      <c r="E408" s="191">
        <v>41898</v>
      </c>
      <c r="F408" s="192" t="s">
        <v>663</v>
      </c>
      <c r="G408" s="468" t="s">
        <v>686</v>
      </c>
      <c r="H408" s="7" t="s">
        <v>603</v>
      </c>
      <c r="I408" s="256">
        <v>1700</v>
      </c>
      <c r="J408" s="256">
        <v>10050</v>
      </c>
      <c r="K408" s="568">
        <f>ROUND(I408*J408,0)</f>
        <v>17085000</v>
      </c>
      <c r="L408" s="569" t="s">
        <v>253</v>
      </c>
      <c r="M408" s="569" t="s">
        <v>177</v>
      </c>
      <c r="N408" s="52" t="str">
        <f>IF(AND('331-CT'!$E$7=TH!H408,OR(L408="331",M408="331")),"331",IF(AND(OR(L408="131",M408="131"),H408='131-CT'!$E$7),"131",""))</f>
        <v/>
      </c>
      <c r="O408" s="89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15"/>
      <c r="AC408" s="211" t="str">
        <f>IF(F408=VLOOKUP(F408,NXT!$C$12:$C$345,1,0),"","x")</f>
        <v/>
      </c>
      <c r="AD408" s="211"/>
      <c r="AE408" s="211"/>
    </row>
    <row r="409" spans="1:31" s="560" customFormat="1" ht="15.75" customHeight="1">
      <c r="A409" s="204" t="str">
        <f>IF(B409&lt;&gt;"",IF(AND(B409&gt;=_TM1,B409&lt;=_TM2,OR(TH!L409="1111",TH!M409="1111")),TH!D409,""),"")</f>
        <v/>
      </c>
      <c r="B409" s="36">
        <f t="shared" si="31"/>
        <v>9</v>
      </c>
      <c r="C409" s="184">
        <f t="shared" si="32"/>
        <v>41898</v>
      </c>
      <c r="D409" s="184" t="s">
        <v>969</v>
      </c>
      <c r="E409" s="191">
        <v>41898</v>
      </c>
      <c r="F409" s="192" t="s">
        <v>624</v>
      </c>
      <c r="G409" s="468" t="s">
        <v>686</v>
      </c>
      <c r="H409" s="7" t="s">
        <v>603</v>
      </c>
      <c r="I409" s="256">
        <v>10500</v>
      </c>
      <c r="J409" s="256">
        <v>400</v>
      </c>
      <c r="K409" s="568">
        <f>ROUND(I409*J409,0)</f>
        <v>4200000</v>
      </c>
      <c r="L409" s="569" t="s">
        <v>253</v>
      </c>
      <c r="M409" s="569" t="s">
        <v>177</v>
      </c>
      <c r="N409" s="52" t="str">
        <f>IF(AND('331-CT'!$E$7=TH!H409,OR(L409="331",M409="331")),"331",IF(AND(OR(L409="131",M409="131"),H409='131-CT'!$E$7),"131",""))</f>
        <v/>
      </c>
      <c r="O409" s="89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15"/>
      <c r="AC409" s="211" t="str">
        <f>IF(F409=VLOOKUP(F409,NXT!$C$12:$C$345,1,0),"","x")</f>
        <v/>
      </c>
      <c r="AD409" s="211"/>
      <c r="AE409" s="211"/>
    </row>
    <row r="410" spans="1:31" s="560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9</v>
      </c>
      <c r="C410" s="184">
        <f t="shared" si="32"/>
        <v>41898</v>
      </c>
      <c r="D410" s="184" t="s">
        <v>969</v>
      </c>
      <c r="E410" s="191">
        <v>41898</v>
      </c>
      <c r="F410" s="192" t="s">
        <v>421</v>
      </c>
      <c r="G410" s="468" t="s">
        <v>686</v>
      </c>
      <c r="H410" s="7" t="s">
        <v>603</v>
      </c>
      <c r="I410" s="256"/>
      <c r="J410" s="256"/>
      <c r="K410" s="568">
        <v>5499900</v>
      </c>
      <c r="L410" s="569" t="s">
        <v>253</v>
      </c>
      <c r="M410" s="569" t="s">
        <v>365</v>
      </c>
      <c r="N410" s="52" t="str">
        <f>IF(AND('331-CT'!$E$7=TH!H410,OR(L410="331",M410="331")),"331",IF(AND(OR(L410="131",M410="131"),H410='131-CT'!$E$7),"131",""))</f>
        <v/>
      </c>
      <c r="O410" s="89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15"/>
      <c r="AC410" s="560" t="str">
        <f>IF(VLOOKUP(H410,DS_131,1,0)&lt;&gt;"","","x")</f>
        <v/>
      </c>
      <c r="AD410" s="211"/>
      <c r="AE410" s="211"/>
    </row>
    <row r="411" spans="1:31" s="560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9</v>
      </c>
      <c r="C411" s="184">
        <f t="shared" si="32"/>
        <v>41899</v>
      </c>
      <c r="D411" s="184" t="s">
        <v>970</v>
      </c>
      <c r="E411" s="191">
        <v>41899</v>
      </c>
      <c r="F411" s="192" t="s">
        <v>687</v>
      </c>
      <c r="G411" s="468" t="s">
        <v>688</v>
      </c>
      <c r="H411" s="7" t="s">
        <v>689</v>
      </c>
      <c r="I411" s="256">
        <v>833</v>
      </c>
      <c r="J411" s="256">
        <v>30000</v>
      </c>
      <c r="K411" s="568">
        <f>ROUND(I411*J411,0)</f>
        <v>24990000</v>
      </c>
      <c r="L411" s="569" t="s">
        <v>253</v>
      </c>
      <c r="M411" s="569" t="s">
        <v>177</v>
      </c>
      <c r="N411" s="52" t="str">
        <f>IF(AND('331-CT'!$E$7=TH!H411,OR(L411="331",M411="331")),"331",IF(AND(OR(L411="131",M411="131"),H411='131-CT'!$E$7),"131",""))</f>
        <v/>
      </c>
      <c r="O411" s="89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15"/>
      <c r="AC411" s="211" t="str">
        <f>IF(F411=VLOOKUP(F411,NXT!$C$12:$C$345,1,0),"","x")</f>
        <v/>
      </c>
      <c r="AD411" s="211"/>
      <c r="AE411" s="211"/>
    </row>
    <row r="412" spans="1:31" s="560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9</v>
      </c>
      <c r="C412" s="184">
        <f t="shared" si="32"/>
        <v>41899</v>
      </c>
      <c r="D412" s="184" t="s">
        <v>970</v>
      </c>
      <c r="E412" s="191">
        <v>41899</v>
      </c>
      <c r="F412" s="192" t="s">
        <v>421</v>
      </c>
      <c r="G412" s="468" t="s">
        <v>688</v>
      </c>
      <c r="H412" s="7" t="s">
        <v>689</v>
      </c>
      <c r="I412" s="256"/>
      <c r="J412" s="256"/>
      <c r="K412" s="568">
        <v>2499000</v>
      </c>
      <c r="L412" s="569" t="s">
        <v>253</v>
      </c>
      <c r="M412" s="569" t="s">
        <v>365</v>
      </c>
      <c r="N412" s="52" t="str">
        <f>IF(AND('331-CT'!$E$7=TH!H412,OR(L412="331",M412="331")),"331",IF(AND(OR(L412="131",M412="131"),H412='131-CT'!$E$7),"131",""))</f>
        <v/>
      </c>
      <c r="O412" s="89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15"/>
      <c r="AC412" s="560" t="str">
        <f>IF(VLOOKUP(H412,DS_131,1,0)&lt;&gt;"","","x")</f>
        <v/>
      </c>
      <c r="AD412" s="211"/>
      <c r="AE412" s="211"/>
    </row>
    <row r="413" spans="1:31" s="560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9</v>
      </c>
      <c r="C413" s="184">
        <f t="shared" si="32"/>
        <v>41900</v>
      </c>
      <c r="D413" s="184" t="s">
        <v>971</v>
      </c>
      <c r="E413" s="191">
        <v>41900</v>
      </c>
      <c r="F413" s="192" t="s">
        <v>488</v>
      </c>
      <c r="G413" s="468" t="s">
        <v>690</v>
      </c>
      <c r="H413" s="7" t="s">
        <v>909</v>
      </c>
      <c r="I413" s="256">
        <v>195</v>
      </c>
      <c r="J413" s="256">
        <v>6400</v>
      </c>
      <c r="K413" s="568">
        <f>ROUND(I413*J413,0)</f>
        <v>1248000</v>
      </c>
      <c r="L413" s="569" t="s">
        <v>253</v>
      </c>
      <c r="M413" s="569" t="s">
        <v>177</v>
      </c>
      <c r="N413" s="52" t="str">
        <f>IF(AND('331-CT'!$E$7=TH!H413,OR(L413="331",M413="331")),"331",IF(AND(OR(L413="131",M413="131"),H413='131-CT'!$E$7),"131",""))</f>
        <v/>
      </c>
      <c r="O413" s="89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15"/>
      <c r="AC413" s="211" t="str">
        <f>IF(F413=VLOOKUP(F413,NXT!$C$12:$C$345,1,0),"","x")</f>
        <v/>
      </c>
      <c r="AD413" s="211"/>
      <c r="AE413" s="211"/>
    </row>
    <row r="414" spans="1:31" s="560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9</v>
      </c>
      <c r="C414" s="184">
        <f t="shared" si="32"/>
        <v>41900</v>
      </c>
      <c r="D414" s="184" t="s">
        <v>971</v>
      </c>
      <c r="E414" s="191">
        <v>41900</v>
      </c>
      <c r="F414" s="192" t="s">
        <v>495</v>
      </c>
      <c r="G414" s="468" t="s">
        <v>690</v>
      </c>
      <c r="H414" s="7" t="s">
        <v>909</v>
      </c>
      <c r="I414" s="256">
        <v>300</v>
      </c>
      <c r="J414" s="256">
        <v>8600</v>
      </c>
      <c r="K414" s="568">
        <f>ROUND(I414*J414,0)</f>
        <v>2580000</v>
      </c>
      <c r="L414" s="569" t="s">
        <v>253</v>
      </c>
      <c r="M414" s="569" t="s">
        <v>177</v>
      </c>
      <c r="N414" s="52" t="str">
        <f>IF(AND('331-CT'!$E$7=TH!H414,OR(L414="331",M414="331")),"331",IF(AND(OR(L414="131",M414="131"),H414='131-CT'!$E$7),"131",""))</f>
        <v/>
      </c>
      <c r="O414" s="89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15"/>
      <c r="AC414" s="211" t="str">
        <f>IF(F414=VLOOKUP(F414,NXT!$C$12:$C$345,1,0),"","x")</f>
        <v/>
      </c>
      <c r="AD414" s="211"/>
      <c r="AE414" s="211"/>
    </row>
    <row r="415" spans="1:31" s="560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9</v>
      </c>
      <c r="C415" s="184">
        <f t="shared" si="32"/>
        <v>41900</v>
      </c>
      <c r="D415" s="184" t="s">
        <v>971</v>
      </c>
      <c r="E415" s="191">
        <v>41900</v>
      </c>
      <c r="F415" s="192" t="s">
        <v>421</v>
      </c>
      <c r="G415" s="468" t="s">
        <v>690</v>
      </c>
      <c r="H415" s="7" t="s">
        <v>909</v>
      </c>
      <c r="I415" s="256"/>
      <c r="J415" s="256"/>
      <c r="K415" s="568">
        <v>382800</v>
      </c>
      <c r="L415" s="569" t="s">
        <v>253</v>
      </c>
      <c r="M415" s="569" t="s">
        <v>365</v>
      </c>
      <c r="N415" s="52" t="str">
        <f>IF(AND('331-CT'!$E$7=TH!H415,OR(L415="331",M415="331")),"331",IF(AND(OR(L415="131",M415="131"),H415='131-CT'!$E$7),"131",""))</f>
        <v/>
      </c>
      <c r="O415" s="89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15"/>
      <c r="AC415" s="560" t="str">
        <f>IF(VLOOKUP(H415,DS_131,1,0)&lt;&gt;"","","x")</f>
        <v/>
      </c>
      <c r="AD415" s="211"/>
      <c r="AE415" s="211"/>
    </row>
    <row r="416" spans="1:31" s="560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9</v>
      </c>
      <c r="C416" s="184">
        <f t="shared" si="32"/>
        <v>41904</v>
      </c>
      <c r="D416" s="184" t="s">
        <v>972</v>
      </c>
      <c r="E416" s="191">
        <v>41904</v>
      </c>
      <c r="F416" s="192" t="s">
        <v>691</v>
      </c>
      <c r="G416" s="468" t="s">
        <v>692</v>
      </c>
      <c r="H416" s="7" t="s">
        <v>642</v>
      </c>
      <c r="I416" s="256">
        <v>314</v>
      </c>
      <c r="J416" s="256">
        <v>6300</v>
      </c>
      <c r="K416" s="568">
        <f>ROUND(I416*J416,0)</f>
        <v>1978200</v>
      </c>
      <c r="L416" s="569" t="s">
        <v>253</v>
      </c>
      <c r="M416" s="569" t="s">
        <v>177</v>
      </c>
      <c r="N416" s="52" t="str">
        <f>IF(AND('331-CT'!$E$7=TH!H416,OR(L416="331",M416="331")),"331",IF(AND(OR(L416="131",M416="131"),H416='131-CT'!$E$7),"131",""))</f>
        <v/>
      </c>
      <c r="O416" s="89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15"/>
      <c r="AC416" s="211" t="str">
        <f>IF(F416=VLOOKUP(F416,NXT!$C$12:$C$345,1,0),"","x")</f>
        <v/>
      </c>
      <c r="AD416" s="211"/>
      <c r="AE416" s="211"/>
    </row>
    <row r="417" spans="1:31" s="560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9</v>
      </c>
      <c r="C417" s="184">
        <f t="shared" si="32"/>
        <v>41904</v>
      </c>
      <c r="D417" s="184" t="s">
        <v>972</v>
      </c>
      <c r="E417" s="191">
        <v>41904</v>
      </c>
      <c r="F417" s="192" t="s">
        <v>693</v>
      </c>
      <c r="G417" s="468" t="s">
        <v>692</v>
      </c>
      <c r="H417" s="7" t="s">
        <v>642</v>
      </c>
      <c r="I417" s="256">
        <v>103</v>
      </c>
      <c r="J417" s="256">
        <v>5700</v>
      </c>
      <c r="K417" s="568">
        <f>ROUND(I417*J417,0)</f>
        <v>587100</v>
      </c>
      <c r="L417" s="569" t="s">
        <v>253</v>
      </c>
      <c r="M417" s="569" t="s">
        <v>177</v>
      </c>
      <c r="N417" s="52" t="str">
        <f>IF(AND('331-CT'!$E$7=TH!H417,OR(L417="331",M417="331")),"331",IF(AND(OR(L417="131",M417="131"),H417='131-CT'!$E$7),"131",""))</f>
        <v/>
      </c>
      <c r="O417" s="89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15"/>
      <c r="AC417" s="211" t="str">
        <f>IF(F417=VLOOKUP(F417,NXT!$C$12:$C$345,1,0),"","x")</f>
        <v/>
      </c>
      <c r="AD417" s="211"/>
      <c r="AE417" s="211"/>
    </row>
    <row r="418" spans="1:31" s="560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9</v>
      </c>
      <c r="C418" s="184">
        <f t="shared" si="32"/>
        <v>41904</v>
      </c>
      <c r="D418" s="184" t="s">
        <v>972</v>
      </c>
      <c r="E418" s="191">
        <v>41904</v>
      </c>
      <c r="F418" s="192" t="s">
        <v>694</v>
      </c>
      <c r="G418" s="468" t="s">
        <v>692</v>
      </c>
      <c r="H418" s="7" t="s">
        <v>642</v>
      </c>
      <c r="I418" s="256">
        <v>497</v>
      </c>
      <c r="J418" s="256">
        <v>5000</v>
      </c>
      <c r="K418" s="568">
        <f>ROUND(I418*J418,0)</f>
        <v>2485000</v>
      </c>
      <c r="L418" s="569" t="s">
        <v>253</v>
      </c>
      <c r="M418" s="569" t="s">
        <v>177</v>
      </c>
      <c r="N418" s="52" t="str">
        <f>IF(AND('331-CT'!$E$7=TH!H418,OR(L418="331",M418="331")),"331",IF(AND(OR(L418="131",M418="131"),H418='131-CT'!$E$7),"131",""))</f>
        <v/>
      </c>
      <c r="O418" s="89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15"/>
      <c r="AC418" s="211" t="str">
        <f>IF(F418=VLOOKUP(F418,NXT!$C$12:$C$345,1,0),"","x")</f>
        <v/>
      </c>
      <c r="AD418" s="211"/>
      <c r="AE418" s="211"/>
    </row>
    <row r="419" spans="1:31" s="560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9</v>
      </c>
      <c r="C419" s="184">
        <f t="shared" si="32"/>
        <v>41904</v>
      </c>
      <c r="D419" s="184" t="s">
        <v>972</v>
      </c>
      <c r="E419" s="191">
        <v>41904</v>
      </c>
      <c r="F419" s="192" t="s">
        <v>695</v>
      </c>
      <c r="G419" s="468" t="s">
        <v>692</v>
      </c>
      <c r="H419" s="7" t="s">
        <v>642</v>
      </c>
      <c r="I419" s="256">
        <v>300</v>
      </c>
      <c r="J419" s="256">
        <v>4500</v>
      </c>
      <c r="K419" s="568">
        <f>ROUND(I419*J419,0)</f>
        <v>1350000</v>
      </c>
      <c r="L419" s="569" t="s">
        <v>253</v>
      </c>
      <c r="M419" s="569" t="s">
        <v>177</v>
      </c>
      <c r="N419" s="52" t="str">
        <f>IF(AND('331-CT'!$E$7=TH!H419,OR(L419="331",M419="331")),"331",IF(AND(OR(L419="131",M419="131"),H419='131-CT'!$E$7),"131",""))</f>
        <v/>
      </c>
      <c r="O419" s="89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15"/>
      <c r="AC419" s="211" t="str">
        <f>IF(F419=VLOOKUP(F419,NXT!$C$12:$C$345,1,0),"","x")</f>
        <v/>
      </c>
      <c r="AD419" s="211"/>
      <c r="AE419" s="211"/>
    </row>
    <row r="420" spans="1:31" s="560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9</v>
      </c>
      <c r="C420" s="184">
        <f t="shared" si="32"/>
        <v>41904</v>
      </c>
      <c r="D420" s="184" t="s">
        <v>972</v>
      </c>
      <c r="E420" s="191">
        <v>41904</v>
      </c>
      <c r="F420" s="192" t="s">
        <v>421</v>
      </c>
      <c r="G420" s="468" t="s">
        <v>692</v>
      </c>
      <c r="H420" s="7" t="s">
        <v>642</v>
      </c>
      <c r="I420" s="257"/>
      <c r="J420" s="257"/>
      <c r="K420" s="568">
        <v>640030</v>
      </c>
      <c r="L420" s="569" t="s">
        <v>253</v>
      </c>
      <c r="M420" s="569" t="s">
        <v>365</v>
      </c>
      <c r="N420" s="52" t="str">
        <f>IF(AND('331-CT'!$E$7=TH!H420,OR(L420="331",M420="331")),"331",IF(AND(OR(L420="131",M420="131"),H420='131-CT'!$E$7),"131",""))</f>
        <v/>
      </c>
      <c r="O420" s="89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15"/>
      <c r="AC420" s="560" t="str">
        <f>IF(VLOOKUP(H420,DS_131,1,0)&lt;&gt;"","","x")</f>
        <v/>
      </c>
      <c r="AD420" s="211"/>
      <c r="AE420" s="211"/>
    </row>
    <row r="421" spans="1:31" s="560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9</v>
      </c>
      <c r="C421" s="184">
        <f t="shared" si="32"/>
        <v>41905</v>
      </c>
      <c r="D421" s="184" t="s">
        <v>973</v>
      </c>
      <c r="E421" s="191">
        <v>41905</v>
      </c>
      <c r="F421" s="192" t="s">
        <v>696</v>
      </c>
      <c r="G421" s="468" t="s">
        <v>697</v>
      </c>
      <c r="H421" s="7" t="s">
        <v>685</v>
      </c>
      <c r="I421" s="256">
        <v>184</v>
      </c>
      <c r="J421" s="256">
        <v>32800</v>
      </c>
      <c r="K421" s="568">
        <f>ROUND(I421*J421,0)</f>
        <v>6035200</v>
      </c>
      <c r="L421" s="569" t="s">
        <v>253</v>
      </c>
      <c r="M421" s="569" t="s">
        <v>177</v>
      </c>
      <c r="N421" s="52" t="str">
        <f>IF(AND('331-CT'!$E$7=TH!H421,OR(L421="331",M421="331")),"331",IF(AND(OR(L421="131",M421="131"),H421='131-CT'!$E$7),"131",""))</f>
        <v/>
      </c>
      <c r="O421" s="89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15"/>
      <c r="AC421" s="211" t="str">
        <f>IF(F421=VLOOKUP(F421,NXT!$C$12:$C$345,1,0),"","x")</f>
        <v/>
      </c>
      <c r="AD421" s="211"/>
      <c r="AE421" s="211"/>
    </row>
    <row r="422" spans="1:31" s="560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9</v>
      </c>
      <c r="C422" s="184">
        <f t="shared" si="32"/>
        <v>41905</v>
      </c>
      <c r="D422" s="184" t="s">
        <v>973</v>
      </c>
      <c r="E422" s="191">
        <v>41905</v>
      </c>
      <c r="F422" s="192" t="s">
        <v>747</v>
      </c>
      <c r="G422" s="468" t="s">
        <v>697</v>
      </c>
      <c r="H422" s="7" t="s">
        <v>685</v>
      </c>
      <c r="I422" s="256">
        <v>368</v>
      </c>
      <c r="J422" s="256">
        <v>1440</v>
      </c>
      <c r="K422" s="568">
        <f>ROUND(I422*J422,0)</f>
        <v>529920</v>
      </c>
      <c r="L422" s="569" t="s">
        <v>253</v>
      </c>
      <c r="M422" s="569" t="s">
        <v>177</v>
      </c>
      <c r="N422" s="52" t="str">
        <f>IF(AND('331-CT'!$E$7=TH!H422,OR(L422="331",M422="331")),"331",IF(AND(OR(L422="131",M422="131"),H422='131-CT'!$E$7),"131",""))</f>
        <v/>
      </c>
      <c r="O422" s="89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15"/>
      <c r="AC422" s="211" t="str">
        <f>IF(F422=VLOOKUP(F422,NXT!$C$12:$C$345,1,0),"","x")</f>
        <v/>
      </c>
      <c r="AD422" s="211"/>
      <c r="AE422" s="211"/>
    </row>
    <row r="423" spans="1:31" s="560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9</v>
      </c>
      <c r="C423" s="184">
        <f t="shared" si="32"/>
        <v>41905</v>
      </c>
      <c r="D423" s="184" t="s">
        <v>973</v>
      </c>
      <c r="E423" s="191">
        <v>41905</v>
      </c>
      <c r="F423" s="192" t="s">
        <v>421</v>
      </c>
      <c r="G423" s="468" t="s">
        <v>697</v>
      </c>
      <c r="H423" s="7" t="s">
        <v>685</v>
      </c>
      <c r="I423" s="257"/>
      <c r="J423" s="257"/>
      <c r="K423" s="568">
        <v>656512</v>
      </c>
      <c r="L423" s="569" t="s">
        <v>253</v>
      </c>
      <c r="M423" s="569" t="s">
        <v>365</v>
      </c>
      <c r="N423" s="52" t="str">
        <f>IF(AND('331-CT'!$E$7=TH!H423,OR(L423="331",M423="331")),"331",IF(AND(OR(L423="131",M423="131"),H423='131-CT'!$E$7),"131",""))</f>
        <v/>
      </c>
      <c r="O423" s="89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15"/>
      <c r="AC423" s="560" t="str">
        <f>IF(VLOOKUP(H423,DS_131,1,0)&lt;&gt;"","","x")</f>
        <v/>
      </c>
      <c r="AD423" s="211"/>
      <c r="AE423" s="211"/>
    </row>
    <row r="424" spans="1:31" s="560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9</v>
      </c>
      <c r="C424" s="184">
        <f t="shared" si="32"/>
        <v>41905</v>
      </c>
      <c r="D424" s="184" t="s">
        <v>974</v>
      </c>
      <c r="E424" s="191">
        <v>41905</v>
      </c>
      <c r="F424" s="192" t="s">
        <v>683</v>
      </c>
      <c r="G424" s="468" t="s">
        <v>698</v>
      </c>
      <c r="H424" s="7" t="s">
        <v>685</v>
      </c>
      <c r="I424" s="256">
        <v>13</v>
      </c>
      <c r="J424" s="256">
        <v>34770</v>
      </c>
      <c r="K424" s="568">
        <f>ROUND(I424*J424,0)</f>
        <v>452010</v>
      </c>
      <c r="L424" s="569" t="s">
        <v>253</v>
      </c>
      <c r="M424" s="569" t="s">
        <v>177</v>
      </c>
      <c r="N424" s="52" t="str">
        <f>IF(AND('331-CT'!$E$7=TH!H424,OR(L424="331",M424="331")),"331",IF(AND(OR(L424="131",M424="131"),H424='131-CT'!$E$7),"131",""))</f>
        <v/>
      </c>
      <c r="O424" s="89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15"/>
      <c r="AC424" s="211" t="str">
        <f>IF(F424=VLOOKUP(F424,NXT!$C$12:$C$345,1,0),"","x")</f>
        <v/>
      </c>
      <c r="AD424" s="211"/>
      <c r="AE424" s="211"/>
    </row>
    <row r="425" spans="1:31" s="560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9</v>
      </c>
      <c r="C425" s="184">
        <f t="shared" si="32"/>
        <v>41905</v>
      </c>
      <c r="D425" s="184" t="s">
        <v>974</v>
      </c>
      <c r="E425" s="191">
        <v>41905</v>
      </c>
      <c r="F425" s="192" t="s">
        <v>421</v>
      </c>
      <c r="G425" s="468" t="s">
        <v>698</v>
      </c>
      <c r="H425" s="7" t="s">
        <v>685</v>
      </c>
      <c r="I425" s="256"/>
      <c r="J425" s="256"/>
      <c r="K425" s="568">
        <v>45201</v>
      </c>
      <c r="L425" s="569" t="s">
        <v>253</v>
      </c>
      <c r="M425" s="569" t="s">
        <v>365</v>
      </c>
      <c r="N425" s="52" t="str">
        <f>IF(AND('331-CT'!$E$7=TH!H425,OR(L425="331",M425="331")),"331",IF(AND(OR(L425="131",M425="131"),H425='131-CT'!$E$7),"131",""))</f>
        <v/>
      </c>
      <c r="O425" s="89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15"/>
      <c r="AC425" s="560" t="str">
        <f>IF(VLOOKUP(H425,DS_131,1,0)&lt;&gt;"","","x")</f>
        <v/>
      </c>
      <c r="AD425" s="211"/>
      <c r="AE425" s="211"/>
    </row>
    <row r="426" spans="1:31" s="560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9</v>
      </c>
      <c r="C426" s="184">
        <f t="shared" si="32"/>
        <v>41907</v>
      </c>
      <c r="D426" s="184" t="s">
        <v>975</v>
      </c>
      <c r="E426" s="191">
        <v>41907</v>
      </c>
      <c r="F426" s="192" t="s">
        <v>516</v>
      </c>
      <c r="G426" s="468" t="s">
        <v>699</v>
      </c>
      <c r="H426" s="7" t="s">
        <v>910</v>
      </c>
      <c r="I426" s="256">
        <v>994</v>
      </c>
      <c r="J426" s="256">
        <v>12000</v>
      </c>
      <c r="K426" s="568">
        <f>ROUND(I426*J426,0)</f>
        <v>11928000</v>
      </c>
      <c r="L426" s="569" t="s">
        <v>253</v>
      </c>
      <c r="M426" s="569" t="s">
        <v>177</v>
      </c>
      <c r="N426" s="52" t="str">
        <f>IF(AND('331-CT'!$E$7=TH!H426,OR(L426="331",M426="331")),"331",IF(AND(OR(L426="131",M426="131"),H426='131-CT'!$E$7),"131",""))</f>
        <v/>
      </c>
      <c r="O426" s="89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15"/>
      <c r="AC426" s="211" t="str">
        <f>IF(F426=VLOOKUP(F426,NXT!$C$12:$C$345,1,0),"","x")</f>
        <v/>
      </c>
      <c r="AD426" s="211"/>
      <c r="AE426" s="211"/>
    </row>
    <row r="427" spans="1:31" s="560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9</v>
      </c>
      <c r="C427" s="184">
        <f t="shared" si="32"/>
        <v>41907</v>
      </c>
      <c r="D427" s="184" t="s">
        <v>975</v>
      </c>
      <c r="E427" s="191">
        <v>41907</v>
      </c>
      <c r="F427" s="192" t="s">
        <v>421</v>
      </c>
      <c r="G427" s="468" t="s">
        <v>699</v>
      </c>
      <c r="H427" s="7" t="s">
        <v>910</v>
      </c>
      <c r="I427" s="256"/>
      <c r="J427" s="256"/>
      <c r="K427" s="568">
        <v>1192800</v>
      </c>
      <c r="L427" s="569" t="s">
        <v>253</v>
      </c>
      <c r="M427" s="569" t="s">
        <v>365</v>
      </c>
      <c r="N427" s="52" t="str">
        <f>IF(AND('331-CT'!$E$7=TH!H427,OR(L427="331",M427="331")),"331",IF(AND(OR(L427="131",M427="131"),H427='131-CT'!$E$7),"131",""))</f>
        <v/>
      </c>
      <c r="O427" s="89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15"/>
      <c r="AC427" s="560" t="str">
        <f>IF(VLOOKUP(H427,DS_131,1,0)&lt;&gt;"","","x")</f>
        <v/>
      </c>
      <c r="AD427" s="211"/>
      <c r="AE427" s="211"/>
    </row>
    <row r="428" spans="1:31" s="560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9</v>
      </c>
      <c r="C428" s="184">
        <f t="shared" si="32"/>
        <v>41908</v>
      </c>
      <c r="D428" s="184" t="s">
        <v>976</v>
      </c>
      <c r="E428" s="191">
        <v>41908</v>
      </c>
      <c r="F428" s="192" t="s">
        <v>640</v>
      </c>
      <c r="G428" s="468" t="s">
        <v>700</v>
      </c>
      <c r="H428" s="7" t="s">
        <v>642</v>
      </c>
      <c r="I428" s="257">
        <v>1500</v>
      </c>
      <c r="J428" s="257">
        <v>4800</v>
      </c>
      <c r="K428" s="568">
        <f>ROUND(I428*J428,0)</f>
        <v>7200000</v>
      </c>
      <c r="L428" s="569" t="s">
        <v>253</v>
      </c>
      <c r="M428" s="569" t="s">
        <v>177</v>
      </c>
      <c r="N428" s="52" t="str">
        <f>IF(AND('331-CT'!$E$7=TH!H428,OR(L428="331",M428="331")),"331",IF(AND(OR(L428="131",M428="131"),H428='131-CT'!$E$7),"131",""))</f>
        <v/>
      </c>
      <c r="O428" s="89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15"/>
      <c r="AC428" s="211" t="str">
        <f>IF(F428=VLOOKUP(F428,NXT!$C$12:$C$345,1,0),"","x")</f>
        <v/>
      </c>
      <c r="AD428" s="211"/>
      <c r="AE428" s="211"/>
    </row>
    <row r="429" spans="1:31" s="560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9</v>
      </c>
      <c r="C429" s="184">
        <f t="shared" si="32"/>
        <v>41908</v>
      </c>
      <c r="D429" s="184" t="s">
        <v>976</v>
      </c>
      <c r="E429" s="191">
        <v>41908</v>
      </c>
      <c r="F429" s="192" t="s">
        <v>421</v>
      </c>
      <c r="G429" s="468" t="s">
        <v>700</v>
      </c>
      <c r="H429" s="7" t="s">
        <v>642</v>
      </c>
      <c r="I429" s="256"/>
      <c r="J429" s="256"/>
      <c r="K429" s="568">
        <v>720000</v>
      </c>
      <c r="L429" s="569" t="s">
        <v>253</v>
      </c>
      <c r="M429" s="569" t="s">
        <v>365</v>
      </c>
      <c r="N429" s="52" t="str">
        <f>IF(AND('331-CT'!$E$7=TH!H429,OR(L429="331",M429="331")),"331",IF(AND(OR(L429="131",M429="131"),H429='131-CT'!$E$7),"131",""))</f>
        <v/>
      </c>
      <c r="O429" s="89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15"/>
      <c r="AC429" s="560" t="str">
        <f>IF(VLOOKUP(H429,DS_131,1,0)&lt;&gt;"","","x")</f>
        <v/>
      </c>
      <c r="AD429" s="211"/>
      <c r="AE429" s="211"/>
    </row>
    <row r="430" spans="1:31" s="560" customFormat="1" ht="15.75" customHeight="1">
      <c r="A430" s="204" t="str">
        <f>IF(B430&lt;&gt;"",IF(AND(B430&gt;=_TM1,B430&lt;=_TM2,OR(TH!L430="1111",TH!M430="1111")),TH!D430,""),"")</f>
        <v/>
      </c>
      <c r="B430" s="36">
        <f t="shared" ref="B430:B490" si="33">IF(C430&lt;&gt;"",MONTH(C430),"")</f>
        <v>9</v>
      </c>
      <c r="C430" s="184">
        <f t="shared" ref="C430:C490" si="34">E430</f>
        <v>41908</v>
      </c>
      <c r="D430" s="184" t="s">
        <v>977</v>
      </c>
      <c r="E430" s="191">
        <v>41908</v>
      </c>
      <c r="F430" s="192" t="s">
        <v>501</v>
      </c>
      <c r="G430" s="468" t="s">
        <v>701</v>
      </c>
      <c r="H430" s="7" t="s">
        <v>503</v>
      </c>
      <c r="I430" s="256">
        <v>399</v>
      </c>
      <c r="J430" s="256">
        <v>5900</v>
      </c>
      <c r="K430" s="568">
        <f>ROUND(I430*J430,0)</f>
        <v>2354100</v>
      </c>
      <c r="L430" s="569" t="s">
        <v>253</v>
      </c>
      <c r="M430" s="569" t="s">
        <v>177</v>
      </c>
      <c r="N430" s="52" t="str">
        <f>IF(AND('331-CT'!$E$7=TH!H430,OR(L430="331",M430="331")),"331",IF(AND(OR(L430="131",M430="131"),H430='131-CT'!$E$7),"131",""))</f>
        <v/>
      </c>
      <c r="O430" s="89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15"/>
      <c r="AC430" s="211" t="str">
        <f>IF(F430=VLOOKUP(F430,NXT!$C$12:$C$345,1,0),"","x")</f>
        <v/>
      </c>
      <c r="AD430" s="211"/>
      <c r="AE430" s="211"/>
    </row>
    <row r="431" spans="1:31" s="560" customFormat="1" ht="15.75" customHeight="1">
      <c r="A431" s="204" t="str">
        <f>IF(B431&lt;&gt;"",IF(AND(B431&gt;=_TM1,B431&lt;=_TM2,OR(TH!L431="1111",TH!M431="1111")),TH!D431,""),"")</f>
        <v/>
      </c>
      <c r="B431" s="36">
        <f t="shared" si="33"/>
        <v>9</v>
      </c>
      <c r="C431" s="184">
        <f t="shared" si="34"/>
        <v>41908</v>
      </c>
      <c r="D431" s="184" t="s">
        <v>977</v>
      </c>
      <c r="E431" s="191">
        <v>41908</v>
      </c>
      <c r="F431" s="192" t="s">
        <v>504</v>
      </c>
      <c r="G431" s="468" t="s">
        <v>701</v>
      </c>
      <c r="H431" s="7" t="s">
        <v>503</v>
      </c>
      <c r="I431" s="256">
        <v>295</v>
      </c>
      <c r="J431" s="256">
        <v>6250</v>
      </c>
      <c r="K431" s="568">
        <f>ROUND(I431*J431,0)</f>
        <v>1843750</v>
      </c>
      <c r="L431" s="569" t="s">
        <v>253</v>
      </c>
      <c r="M431" s="569" t="s">
        <v>177</v>
      </c>
      <c r="N431" s="52" t="str">
        <f>IF(AND('331-CT'!$E$7=TH!H431,OR(L431="331",M431="331")),"331",IF(AND(OR(L431="131",M431="131"),H431='131-CT'!$E$7),"131",""))</f>
        <v/>
      </c>
      <c r="O431" s="89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15"/>
      <c r="AC431" s="211" t="str">
        <f>IF(F431=VLOOKUP(F431,NXT!$C$12:$C$345,1,0),"","x")</f>
        <v/>
      </c>
      <c r="AD431" s="211"/>
      <c r="AE431" s="211"/>
    </row>
    <row r="432" spans="1:31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33"/>
        <v>9</v>
      </c>
      <c r="C432" s="184">
        <f t="shared" si="34"/>
        <v>41908</v>
      </c>
      <c r="D432" s="184" t="s">
        <v>977</v>
      </c>
      <c r="E432" s="191">
        <v>41908</v>
      </c>
      <c r="F432" s="192" t="s">
        <v>505</v>
      </c>
      <c r="G432" s="468" t="s">
        <v>701</v>
      </c>
      <c r="H432" s="7" t="s">
        <v>503</v>
      </c>
      <c r="I432" s="256">
        <v>200</v>
      </c>
      <c r="J432" s="256">
        <v>6550</v>
      </c>
      <c r="K432" s="568">
        <f>ROUND(I432*J432,0)</f>
        <v>1310000</v>
      </c>
      <c r="L432" s="569" t="s">
        <v>253</v>
      </c>
      <c r="M432" s="569" t="s">
        <v>177</v>
      </c>
      <c r="N432" s="52" t="str">
        <f>IF(AND('331-CT'!$E$7=TH!H432,OR(L432="331",M432="331")),"331",IF(AND(OR(L432="131",M432="131"),H432='131-CT'!$E$7),"131",""))</f>
        <v/>
      </c>
      <c r="O432" s="89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15"/>
      <c r="AC432" s="211" t="str">
        <f>IF(F432=VLOOKUP(F432,NXT!$C$12:$C$345,1,0),"","x")</f>
        <v/>
      </c>
    </row>
    <row r="433" spans="1:31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33"/>
        <v>9</v>
      </c>
      <c r="C433" s="184">
        <f t="shared" si="34"/>
        <v>41908</v>
      </c>
      <c r="D433" s="184" t="s">
        <v>977</v>
      </c>
      <c r="E433" s="191">
        <v>41908</v>
      </c>
      <c r="F433" s="192" t="s">
        <v>406</v>
      </c>
      <c r="G433" s="468" t="s">
        <v>701</v>
      </c>
      <c r="H433" s="7" t="s">
        <v>503</v>
      </c>
      <c r="I433" s="256">
        <v>298</v>
      </c>
      <c r="J433" s="256">
        <v>6800</v>
      </c>
      <c r="K433" s="568">
        <f>ROUND(I433*J433,0)</f>
        <v>2026400</v>
      </c>
      <c r="L433" s="569" t="s">
        <v>253</v>
      </c>
      <c r="M433" s="569" t="s">
        <v>177</v>
      </c>
      <c r="N433" s="52" t="str">
        <f>IF(AND('331-CT'!$E$7=TH!H433,OR(L433="331",M433="331")),"331",IF(AND(OR(L433="131",M433="131"),H433='131-CT'!$E$7),"131",""))</f>
        <v/>
      </c>
      <c r="O433" s="89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15"/>
      <c r="AC433" s="211" t="str">
        <f>IF(F433=VLOOKUP(F433,NXT!$C$12:$C$345,1,0),"","x")</f>
        <v/>
      </c>
    </row>
    <row r="434" spans="1:31" s="560" customFormat="1" ht="15.75" customHeight="1">
      <c r="A434" s="204" t="str">
        <f>IF(B434&lt;&gt;"",IF(AND(B434&gt;=_TM1,B434&lt;=_TM2,OR(TH!L434="1111",TH!M434="1111")),TH!D434,""),"")</f>
        <v/>
      </c>
      <c r="B434" s="36">
        <f t="shared" si="33"/>
        <v>9</v>
      </c>
      <c r="C434" s="184">
        <f t="shared" si="34"/>
        <v>41908</v>
      </c>
      <c r="D434" s="184" t="s">
        <v>977</v>
      </c>
      <c r="E434" s="191">
        <v>41908</v>
      </c>
      <c r="F434" s="192" t="s">
        <v>702</v>
      </c>
      <c r="G434" s="468" t="s">
        <v>701</v>
      </c>
      <c r="H434" s="7" t="s">
        <v>503</v>
      </c>
      <c r="I434" s="256">
        <v>360</v>
      </c>
      <c r="J434" s="256">
        <v>5500</v>
      </c>
      <c r="K434" s="568">
        <f>ROUND(I434*J434,0)</f>
        <v>1980000</v>
      </c>
      <c r="L434" s="569" t="s">
        <v>253</v>
      </c>
      <c r="M434" s="569" t="s">
        <v>177</v>
      </c>
      <c r="N434" s="52" t="str">
        <f>IF(AND('331-CT'!$E$7=TH!H434,OR(L434="331",M434="331")),"331",IF(AND(OR(L434="131",M434="131"),H434='131-CT'!$E$7),"131",""))</f>
        <v/>
      </c>
      <c r="O434" s="89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15"/>
      <c r="AC434" s="211" t="str">
        <f>IF(F434=VLOOKUP(F434,NXT!$C$12:$C$345,1,0),"","x")</f>
        <v/>
      </c>
      <c r="AD434" s="211"/>
      <c r="AE434" s="211"/>
    </row>
    <row r="435" spans="1:31" s="560" customFormat="1" ht="15.75" customHeight="1">
      <c r="A435" s="204" t="str">
        <f>IF(B435&lt;&gt;"",IF(AND(B435&gt;=_TM1,B435&lt;=_TM2,OR(TH!L435="1111",TH!M435="1111")),TH!D435,""),"")</f>
        <v/>
      </c>
      <c r="B435" s="36">
        <f t="shared" si="33"/>
        <v>9</v>
      </c>
      <c r="C435" s="184">
        <f t="shared" si="34"/>
        <v>41908</v>
      </c>
      <c r="D435" s="184" t="s">
        <v>977</v>
      </c>
      <c r="E435" s="191">
        <v>41908</v>
      </c>
      <c r="F435" s="192" t="s">
        <v>421</v>
      </c>
      <c r="G435" s="468" t="s">
        <v>701</v>
      </c>
      <c r="H435" s="7" t="s">
        <v>503</v>
      </c>
      <c r="I435" s="256"/>
      <c r="J435" s="256"/>
      <c r="K435" s="568">
        <v>951425</v>
      </c>
      <c r="L435" s="569" t="s">
        <v>253</v>
      </c>
      <c r="M435" s="569" t="s">
        <v>365</v>
      </c>
      <c r="N435" s="52" t="str">
        <f>IF(AND('331-CT'!$E$7=TH!H435,OR(L435="331",M435="331")),"331",IF(AND(OR(L435="131",M435="131"),H435='131-CT'!$E$7),"131",""))</f>
        <v/>
      </c>
      <c r="O435" s="89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15"/>
      <c r="AC435" s="560" t="str">
        <f>IF(VLOOKUP(H435,DS_131,1,0)&lt;&gt;"","","x")</f>
        <v/>
      </c>
      <c r="AD435" s="211"/>
      <c r="AE435" s="211"/>
    </row>
    <row r="436" spans="1:31" s="560" customFormat="1" ht="15.75" customHeight="1">
      <c r="A436" s="204" t="str">
        <f>IF(B436&lt;&gt;"",IF(AND(B436&gt;=_TM1,B436&lt;=_TM2,OR(TH!L436="1111",TH!M436="1111")),TH!D436,""),"")</f>
        <v/>
      </c>
      <c r="B436" s="36">
        <f t="shared" si="33"/>
        <v>9</v>
      </c>
      <c r="C436" s="184">
        <f t="shared" si="34"/>
        <v>41908</v>
      </c>
      <c r="D436" s="184" t="s">
        <v>978</v>
      </c>
      <c r="E436" s="191">
        <v>41908</v>
      </c>
      <c r="F436" s="192" t="s">
        <v>437</v>
      </c>
      <c r="G436" s="468" t="s">
        <v>703</v>
      </c>
      <c r="H436" s="7" t="s">
        <v>439</v>
      </c>
      <c r="I436" s="256">
        <v>498</v>
      </c>
      <c r="J436" s="256">
        <v>10500</v>
      </c>
      <c r="K436" s="568">
        <f>ROUND(I436*J436,0)</f>
        <v>5229000</v>
      </c>
      <c r="L436" s="569" t="s">
        <v>253</v>
      </c>
      <c r="M436" s="569" t="s">
        <v>177</v>
      </c>
      <c r="N436" s="52" t="str">
        <f>IF(AND('331-CT'!$E$7=TH!H436,OR(L436="331",M436="331")),"331",IF(AND(OR(L436="131",M436="131"),H436='131-CT'!$E$7),"131",""))</f>
        <v/>
      </c>
      <c r="O436" s="89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15"/>
      <c r="AC436" s="211" t="str">
        <f>IF(F436=VLOOKUP(F436,NXT!$C$12:$C$345,1,0),"","x")</f>
        <v/>
      </c>
      <c r="AD436" s="211"/>
      <c r="AE436" s="211"/>
    </row>
    <row r="437" spans="1:31" s="560" customFormat="1" ht="15.75" customHeight="1">
      <c r="A437" s="204" t="str">
        <f>IF(B437&lt;&gt;"",IF(AND(B437&gt;=_TM1,B437&lt;=_TM2,OR(TH!L437="1111",TH!M437="1111")),TH!D437,""),"")</f>
        <v/>
      </c>
      <c r="B437" s="36">
        <f t="shared" si="33"/>
        <v>9</v>
      </c>
      <c r="C437" s="184">
        <f t="shared" si="34"/>
        <v>41908</v>
      </c>
      <c r="D437" s="184" t="s">
        <v>978</v>
      </c>
      <c r="E437" s="191">
        <v>41908</v>
      </c>
      <c r="F437" s="192" t="s">
        <v>567</v>
      </c>
      <c r="G437" s="468" t="s">
        <v>703</v>
      </c>
      <c r="H437" s="7" t="s">
        <v>439</v>
      </c>
      <c r="I437" s="256">
        <v>493</v>
      </c>
      <c r="J437" s="256">
        <v>10500</v>
      </c>
      <c r="K437" s="568">
        <f>ROUND(I437*J437,0)</f>
        <v>5176500</v>
      </c>
      <c r="L437" s="569" t="s">
        <v>253</v>
      </c>
      <c r="M437" s="569" t="s">
        <v>177</v>
      </c>
      <c r="N437" s="52" t="str">
        <f>IF(AND('331-CT'!$E$7=TH!H437,OR(L437="331",M437="331")),"331",IF(AND(OR(L437="131",M437="131"),H437='131-CT'!$E$7),"131",""))</f>
        <v/>
      </c>
      <c r="O437" s="89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15"/>
      <c r="AC437" s="211" t="str">
        <f>IF(F437=VLOOKUP(F437,NXT!$C$12:$C$345,1,0),"","x")</f>
        <v/>
      </c>
      <c r="AD437" s="211"/>
      <c r="AE437" s="211"/>
    </row>
    <row r="438" spans="1:31" s="560" customFormat="1" ht="15.75" customHeight="1">
      <c r="A438" s="204" t="str">
        <f>IF(B438&lt;&gt;"",IF(AND(B438&gt;=_TM1,B438&lt;=_TM2,OR(TH!L438="1111",TH!M438="1111")),TH!D438,""),"")</f>
        <v/>
      </c>
      <c r="B438" s="36">
        <f t="shared" si="33"/>
        <v>9</v>
      </c>
      <c r="C438" s="184">
        <f t="shared" si="34"/>
        <v>41908</v>
      </c>
      <c r="D438" s="184" t="s">
        <v>978</v>
      </c>
      <c r="E438" s="191">
        <v>41908</v>
      </c>
      <c r="F438" s="192" t="s">
        <v>421</v>
      </c>
      <c r="G438" s="468" t="s">
        <v>703</v>
      </c>
      <c r="H438" s="7" t="s">
        <v>439</v>
      </c>
      <c r="I438" s="256"/>
      <c r="J438" s="256"/>
      <c r="K438" s="568">
        <v>1040550</v>
      </c>
      <c r="L438" s="569" t="s">
        <v>253</v>
      </c>
      <c r="M438" s="569" t="s">
        <v>365</v>
      </c>
      <c r="N438" s="52" t="str">
        <f>IF(AND('331-CT'!$E$7=TH!H438,OR(L438="331",M438="331")),"331",IF(AND(OR(L438="131",M438="131"),H438='131-CT'!$E$7),"131",""))</f>
        <v/>
      </c>
      <c r="O438" s="89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15"/>
      <c r="AC438" s="560" t="str">
        <f>IF(VLOOKUP(H438,DS_131,1,0)&lt;&gt;"","","x")</f>
        <v/>
      </c>
      <c r="AD438" s="211"/>
      <c r="AE438" s="211"/>
    </row>
    <row r="439" spans="1:31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33"/>
        <v>9</v>
      </c>
      <c r="C439" s="184">
        <f t="shared" si="34"/>
        <v>41908</v>
      </c>
      <c r="D439" s="184" t="s">
        <v>979</v>
      </c>
      <c r="E439" s="191">
        <v>41908</v>
      </c>
      <c r="F439" s="192" t="s">
        <v>704</v>
      </c>
      <c r="G439" s="468" t="s">
        <v>705</v>
      </c>
      <c r="H439" s="7" t="s">
        <v>583</v>
      </c>
      <c r="I439" s="256">
        <v>51</v>
      </c>
      <c r="J439" s="256">
        <v>7200</v>
      </c>
      <c r="K439" s="568">
        <f t="shared" ref="K439:K446" si="35">ROUND(I439*J439,0)</f>
        <v>367200</v>
      </c>
      <c r="L439" s="569" t="s">
        <v>253</v>
      </c>
      <c r="M439" s="569" t="s">
        <v>177</v>
      </c>
      <c r="N439" s="52" t="str">
        <f>IF(AND('331-CT'!$E$7=TH!H439,OR(L439="331",M439="331")),"331",IF(AND(OR(L439="131",M439="131"),H439='131-CT'!$E$7),"131",""))</f>
        <v/>
      </c>
      <c r="O439" s="89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15"/>
      <c r="AC439" s="211" t="str">
        <f>IF(F439=VLOOKUP(F439,NXT!$C$12:$C$345,1,0),"","x")</f>
        <v/>
      </c>
    </row>
    <row r="440" spans="1:31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33"/>
        <v>9</v>
      </c>
      <c r="C440" s="184">
        <f t="shared" si="34"/>
        <v>41908</v>
      </c>
      <c r="D440" s="184" t="s">
        <v>979</v>
      </c>
      <c r="E440" s="191">
        <v>41908</v>
      </c>
      <c r="F440" s="192" t="s">
        <v>706</v>
      </c>
      <c r="G440" s="468" t="s">
        <v>705</v>
      </c>
      <c r="H440" s="7" t="s">
        <v>583</v>
      </c>
      <c r="I440" s="256">
        <v>313</v>
      </c>
      <c r="J440" s="256">
        <v>9450</v>
      </c>
      <c r="K440" s="568">
        <f t="shared" si="35"/>
        <v>2957850</v>
      </c>
      <c r="L440" s="569" t="s">
        <v>253</v>
      </c>
      <c r="M440" s="569" t="s">
        <v>177</v>
      </c>
      <c r="N440" s="52" t="str">
        <f>IF(AND('331-CT'!$E$7=TH!H440,OR(L440="331",M440="331")),"331",IF(AND(OR(L440="131",M440="131"),H440='131-CT'!$E$7),"131",""))</f>
        <v/>
      </c>
      <c r="O440" s="89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15"/>
      <c r="AC440" s="211" t="str">
        <f>IF(F440=VLOOKUP(F440,NXT!$C$12:$C$345,1,0),"","x")</f>
        <v/>
      </c>
    </row>
    <row r="441" spans="1:31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33"/>
        <v>9</v>
      </c>
      <c r="C441" s="184">
        <f t="shared" si="34"/>
        <v>41908</v>
      </c>
      <c r="D441" s="184" t="s">
        <v>979</v>
      </c>
      <c r="E441" s="191">
        <v>41908</v>
      </c>
      <c r="F441" s="192" t="s">
        <v>707</v>
      </c>
      <c r="G441" s="468" t="s">
        <v>705</v>
      </c>
      <c r="H441" s="7" t="s">
        <v>583</v>
      </c>
      <c r="I441" s="256">
        <v>113</v>
      </c>
      <c r="J441" s="256">
        <v>7500</v>
      </c>
      <c r="K441" s="568">
        <f t="shared" si="35"/>
        <v>847500</v>
      </c>
      <c r="L441" s="569" t="s">
        <v>253</v>
      </c>
      <c r="M441" s="569" t="s">
        <v>177</v>
      </c>
      <c r="N441" s="52" t="str">
        <f>IF(AND('331-CT'!$E$7=TH!H441,OR(L441="331",M441="331")),"331",IF(AND(OR(L441="131",M441="131"),H441='131-CT'!$E$7),"131",""))</f>
        <v/>
      </c>
      <c r="O441" s="89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15"/>
      <c r="AC441" s="211" t="str">
        <f>IF(F441=VLOOKUP(F441,NXT!$C$12:$C$345,1,0),"","x")</f>
        <v/>
      </c>
    </row>
    <row r="442" spans="1:31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33"/>
        <v>9</v>
      </c>
      <c r="C442" s="184">
        <f t="shared" si="34"/>
        <v>41908</v>
      </c>
      <c r="D442" s="184" t="s">
        <v>979</v>
      </c>
      <c r="E442" s="191">
        <v>41908</v>
      </c>
      <c r="F442" s="192" t="s">
        <v>708</v>
      </c>
      <c r="G442" s="468" t="s">
        <v>705</v>
      </c>
      <c r="H442" s="7" t="s">
        <v>583</v>
      </c>
      <c r="I442" s="256">
        <v>21</v>
      </c>
      <c r="J442" s="256">
        <v>9500</v>
      </c>
      <c r="K442" s="568">
        <f t="shared" si="35"/>
        <v>199500</v>
      </c>
      <c r="L442" s="569" t="s">
        <v>253</v>
      </c>
      <c r="M442" s="569" t="s">
        <v>177</v>
      </c>
      <c r="N442" s="52" t="str">
        <f>IF(AND('331-CT'!$E$7=TH!H442,OR(L442="331",M442="331")),"331",IF(AND(OR(L442="131",M442="131"),H442='131-CT'!$E$7),"131",""))</f>
        <v/>
      </c>
      <c r="O442" s="89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15"/>
      <c r="AC442" s="211" t="str">
        <f>IF(F442=VLOOKUP(F442,NXT!$C$12:$C$345,1,0),"","x")</f>
        <v/>
      </c>
    </row>
    <row r="443" spans="1:31" s="560" customFormat="1" ht="15.75" customHeight="1">
      <c r="A443" s="204" t="str">
        <f>IF(B443&lt;&gt;"",IF(AND(B443&gt;=_TM1,B443&lt;=_TM2,OR(TH!L443="1111",TH!M443="1111")),TH!D443,""),"")</f>
        <v/>
      </c>
      <c r="B443" s="36">
        <f t="shared" si="33"/>
        <v>9</v>
      </c>
      <c r="C443" s="184">
        <f t="shared" si="34"/>
        <v>41908</v>
      </c>
      <c r="D443" s="184" t="s">
        <v>979</v>
      </c>
      <c r="E443" s="191">
        <v>41908</v>
      </c>
      <c r="F443" s="192" t="s">
        <v>709</v>
      </c>
      <c r="G443" s="468" t="s">
        <v>705</v>
      </c>
      <c r="H443" s="7" t="s">
        <v>583</v>
      </c>
      <c r="I443" s="256">
        <v>35</v>
      </c>
      <c r="J443" s="256">
        <v>8800</v>
      </c>
      <c r="K443" s="568">
        <f t="shared" si="35"/>
        <v>308000</v>
      </c>
      <c r="L443" s="569" t="s">
        <v>253</v>
      </c>
      <c r="M443" s="569" t="s">
        <v>177</v>
      </c>
      <c r="N443" s="52" t="str">
        <f>IF(AND('331-CT'!$E$7=TH!H443,OR(L443="331",M443="331")),"331",IF(AND(OR(L443="131",M443="131"),H443='131-CT'!$E$7),"131",""))</f>
        <v/>
      </c>
      <c r="O443" s="89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15"/>
      <c r="AC443" s="211" t="str">
        <f>IF(F443=VLOOKUP(F443,NXT!$C$12:$C$345,1,0),"","x")</f>
        <v/>
      </c>
      <c r="AD443" s="211"/>
      <c r="AE443" s="211"/>
    </row>
    <row r="444" spans="1:31" s="560" customFormat="1" ht="15.75" customHeight="1">
      <c r="A444" s="204" t="str">
        <f>IF(B444&lt;&gt;"",IF(AND(B444&gt;=_TM1,B444&lt;=_TM2,OR(TH!L444="1111",TH!M444="1111")),TH!D444,""),"")</f>
        <v/>
      </c>
      <c r="B444" s="36">
        <f t="shared" si="33"/>
        <v>9</v>
      </c>
      <c r="C444" s="184">
        <f t="shared" si="34"/>
        <v>41908</v>
      </c>
      <c r="D444" s="184" t="s">
        <v>979</v>
      </c>
      <c r="E444" s="191">
        <v>41908</v>
      </c>
      <c r="F444" s="192" t="s">
        <v>710</v>
      </c>
      <c r="G444" s="468" t="s">
        <v>705</v>
      </c>
      <c r="H444" s="7" t="s">
        <v>583</v>
      </c>
      <c r="I444" s="256">
        <v>33</v>
      </c>
      <c r="J444" s="256">
        <v>8900</v>
      </c>
      <c r="K444" s="568">
        <f t="shared" si="35"/>
        <v>293700</v>
      </c>
      <c r="L444" s="569" t="s">
        <v>253</v>
      </c>
      <c r="M444" s="569" t="s">
        <v>177</v>
      </c>
      <c r="N444" s="52" t="str">
        <f>IF(AND('331-CT'!$E$7=TH!H444,OR(L444="331",M444="331")),"331",IF(AND(OR(L444="131",M444="131"),H444='131-CT'!$E$7),"131",""))</f>
        <v/>
      </c>
      <c r="O444" s="89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15"/>
      <c r="AC444" s="211" t="str">
        <f>IF(F444=VLOOKUP(F444,NXT!$C$12:$C$345,1,0),"","x")</f>
        <v/>
      </c>
      <c r="AD444" s="211"/>
      <c r="AE444" s="211"/>
    </row>
    <row r="445" spans="1:31" s="560" customFormat="1" ht="15.75" customHeight="1">
      <c r="A445" s="204" t="str">
        <f>IF(B445&lt;&gt;"",IF(AND(B445&gt;=_TM1,B445&lt;=_TM2,OR(TH!L445="1111",TH!M445="1111")),TH!D445,""),"")</f>
        <v/>
      </c>
      <c r="B445" s="36">
        <f t="shared" si="33"/>
        <v>9</v>
      </c>
      <c r="C445" s="184">
        <f t="shared" si="34"/>
        <v>41908</v>
      </c>
      <c r="D445" s="184" t="s">
        <v>979</v>
      </c>
      <c r="E445" s="191">
        <v>41908</v>
      </c>
      <c r="F445" s="192" t="s">
        <v>587</v>
      </c>
      <c r="G445" s="468" t="s">
        <v>705</v>
      </c>
      <c r="H445" s="7" t="s">
        <v>583</v>
      </c>
      <c r="I445" s="256">
        <v>762</v>
      </c>
      <c r="J445" s="256">
        <v>9300</v>
      </c>
      <c r="K445" s="568">
        <f t="shared" si="35"/>
        <v>7086600</v>
      </c>
      <c r="L445" s="569" t="s">
        <v>253</v>
      </c>
      <c r="M445" s="569" t="s">
        <v>177</v>
      </c>
      <c r="N445" s="52" t="str">
        <f>IF(AND('331-CT'!$E$7=TH!H445,OR(L445="331",M445="331")),"331",IF(AND(OR(L445="131",M445="131"),H445='131-CT'!$E$7),"131",""))</f>
        <v/>
      </c>
      <c r="O445" s="89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15"/>
      <c r="AC445" s="211" t="str">
        <f>IF(F445=VLOOKUP(F445,NXT!$C$12:$C$345,1,0),"","x")</f>
        <v/>
      </c>
      <c r="AD445" s="211"/>
      <c r="AE445" s="211"/>
    </row>
    <row r="446" spans="1:31" s="560" customFormat="1" ht="15.75" customHeight="1">
      <c r="A446" s="204" t="str">
        <f>IF(B446&lt;&gt;"",IF(AND(B446&gt;=_TM1,B446&lt;=_TM2,OR(TH!L446="1111",TH!M446="1111")),TH!D446,""),"")</f>
        <v/>
      </c>
      <c r="B446" s="36">
        <f t="shared" si="33"/>
        <v>9</v>
      </c>
      <c r="C446" s="184">
        <f t="shared" si="34"/>
        <v>41908</v>
      </c>
      <c r="D446" s="184" t="s">
        <v>979</v>
      </c>
      <c r="E446" s="191">
        <v>41908</v>
      </c>
      <c r="F446" s="192" t="s">
        <v>711</v>
      </c>
      <c r="G446" s="468" t="s">
        <v>705</v>
      </c>
      <c r="H446" s="7" t="s">
        <v>583</v>
      </c>
      <c r="I446" s="256">
        <v>145</v>
      </c>
      <c r="J446" s="256">
        <v>9500</v>
      </c>
      <c r="K446" s="568">
        <f t="shared" si="35"/>
        <v>1377500</v>
      </c>
      <c r="L446" s="569" t="s">
        <v>253</v>
      </c>
      <c r="M446" s="569" t="s">
        <v>177</v>
      </c>
      <c r="N446" s="52" t="str">
        <f>IF(AND('331-CT'!$E$7=TH!H446,OR(L446="331",M446="331")),"331",IF(AND(OR(L446="131",M446="131"),H446='131-CT'!$E$7),"131",""))</f>
        <v/>
      </c>
      <c r="O446" s="89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15"/>
      <c r="AC446" s="211" t="str">
        <f>IF(F446=VLOOKUP(F446,NXT!$C$12:$C$345,1,0),"","x")</f>
        <v/>
      </c>
      <c r="AD446" s="211"/>
      <c r="AE446" s="211"/>
    </row>
    <row r="447" spans="1:31" s="560" customFormat="1" ht="15.75" customHeight="1">
      <c r="A447" s="204" t="str">
        <f>IF(B447&lt;&gt;"",IF(AND(B447&gt;=_TM1,B447&lt;=_TM2,OR(TH!L447="1111",TH!M447="1111")),TH!D447,""),"")</f>
        <v/>
      </c>
      <c r="B447" s="36">
        <f t="shared" si="33"/>
        <v>9</v>
      </c>
      <c r="C447" s="184">
        <f t="shared" si="34"/>
        <v>41908</v>
      </c>
      <c r="D447" s="184" t="s">
        <v>979</v>
      </c>
      <c r="E447" s="191">
        <v>41908</v>
      </c>
      <c r="F447" s="192" t="s">
        <v>421</v>
      </c>
      <c r="G447" s="468" t="s">
        <v>705</v>
      </c>
      <c r="H447" s="7" t="s">
        <v>583</v>
      </c>
      <c r="I447" s="256"/>
      <c r="J447" s="256"/>
      <c r="K447" s="568">
        <v>1343785</v>
      </c>
      <c r="L447" s="569" t="s">
        <v>253</v>
      </c>
      <c r="M447" s="569" t="s">
        <v>365</v>
      </c>
      <c r="N447" s="52" t="str">
        <f>IF(AND('331-CT'!$E$7=TH!H447,OR(L447="331",M447="331")),"331",IF(AND(OR(L447="131",M447="131"),H447='131-CT'!$E$7),"131",""))</f>
        <v/>
      </c>
      <c r="O447" s="89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15"/>
      <c r="AC447" s="560" t="str">
        <f>IF(VLOOKUP(H447,DS_131,1,0)&lt;&gt;"","","x")</f>
        <v/>
      </c>
      <c r="AD447" s="211"/>
      <c r="AE447" s="211"/>
    </row>
    <row r="448" spans="1:31" s="560" customFormat="1" ht="15.75" customHeight="1">
      <c r="A448" s="204" t="str">
        <f>IF(B448&lt;&gt;"",IF(AND(B448&gt;=_TM1,B448&lt;=_TM2,OR(TH!L448="1111",TH!M448="1111")),TH!D448,""),"")</f>
        <v/>
      </c>
      <c r="B448" s="36">
        <f t="shared" si="33"/>
        <v>9</v>
      </c>
      <c r="C448" s="184">
        <f t="shared" si="34"/>
        <v>41909</v>
      </c>
      <c r="D448" s="184" t="s">
        <v>980</v>
      </c>
      <c r="E448" s="191">
        <v>41909</v>
      </c>
      <c r="F448" s="192" t="s">
        <v>460</v>
      </c>
      <c r="G448" s="468" t="s">
        <v>712</v>
      </c>
      <c r="H448" s="7" t="s">
        <v>462</v>
      </c>
      <c r="I448" s="256">
        <v>1007</v>
      </c>
      <c r="J448" s="256">
        <v>8740</v>
      </c>
      <c r="K448" s="568">
        <f>ROUND(I448*J448,0)</f>
        <v>8801180</v>
      </c>
      <c r="L448" s="569" t="s">
        <v>253</v>
      </c>
      <c r="M448" s="569" t="s">
        <v>177</v>
      </c>
      <c r="N448" s="52" t="str">
        <f>IF(AND('331-CT'!$E$7=TH!H448,OR(L448="331",M448="331")),"331",IF(AND(OR(L448="131",M448="131"),H448='131-CT'!$E$7),"131",""))</f>
        <v/>
      </c>
      <c r="O448" s="89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15"/>
      <c r="AC448" s="211" t="str">
        <f>IF(F448=VLOOKUP(F448,NXT!$C$12:$C$345,1,0),"","x")</f>
        <v/>
      </c>
      <c r="AD448" s="211"/>
      <c r="AE448" s="211"/>
    </row>
    <row r="449" spans="1:31" s="560" customFormat="1" ht="15.75" customHeight="1">
      <c r="A449" s="204" t="str">
        <f>IF(B449&lt;&gt;"",IF(AND(B449&gt;=_TM1,B449&lt;=_TM2,OR(TH!L449="1111",TH!M449="1111")),TH!D449,""),"")</f>
        <v/>
      </c>
      <c r="B449" s="36">
        <f t="shared" si="33"/>
        <v>9</v>
      </c>
      <c r="C449" s="184">
        <f t="shared" si="34"/>
        <v>41909</v>
      </c>
      <c r="D449" s="184" t="s">
        <v>980</v>
      </c>
      <c r="E449" s="191">
        <v>41909</v>
      </c>
      <c r="F449" s="192" t="s">
        <v>421</v>
      </c>
      <c r="G449" s="468" t="s">
        <v>712</v>
      </c>
      <c r="H449" s="7" t="s">
        <v>462</v>
      </c>
      <c r="I449" s="256"/>
      <c r="J449" s="256"/>
      <c r="K449" s="568">
        <v>880118</v>
      </c>
      <c r="L449" s="569" t="s">
        <v>253</v>
      </c>
      <c r="M449" s="569" t="s">
        <v>365</v>
      </c>
      <c r="N449" s="52" t="str">
        <f>IF(AND('331-CT'!$E$7=TH!H449,OR(L449="331",M449="331")),"331",IF(AND(OR(L449="131",M449="131"),H449='131-CT'!$E$7),"131",""))</f>
        <v/>
      </c>
      <c r="O449" s="89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15"/>
      <c r="AC449" s="560" t="str">
        <f>IF(VLOOKUP(H449,DS_131,1,0)&lt;&gt;"","","x")</f>
        <v/>
      </c>
      <c r="AD449" s="211"/>
      <c r="AE449" s="211"/>
    </row>
    <row r="450" spans="1:31" s="560" customFormat="1" ht="15.75" customHeight="1">
      <c r="A450" s="204" t="str">
        <f>IF(B450&lt;&gt;"",IF(AND(B450&gt;=_TM1,B450&lt;=_TM2,OR(TH!L450="1111",TH!M450="1111")),TH!D450,""),"")</f>
        <v/>
      </c>
      <c r="B450" s="36">
        <f t="shared" si="33"/>
        <v>9</v>
      </c>
      <c r="C450" s="184">
        <f t="shared" si="34"/>
        <v>41912</v>
      </c>
      <c r="D450" s="184" t="s">
        <v>981</v>
      </c>
      <c r="E450" s="191">
        <v>41912</v>
      </c>
      <c r="F450" s="192" t="s">
        <v>713</v>
      </c>
      <c r="G450" s="468" t="s">
        <v>714</v>
      </c>
      <c r="H450" s="7" t="s">
        <v>715</v>
      </c>
      <c r="I450" s="256">
        <v>264</v>
      </c>
      <c r="J450" s="256">
        <v>14000</v>
      </c>
      <c r="K450" s="568">
        <f>ROUND(I450*J450,0)</f>
        <v>3696000</v>
      </c>
      <c r="L450" s="569" t="s">
        <v>253</v>
      </c>
      <c r="M450" s="569" t="s">
        <v>177</v>
      </c>
      <c r="N450" s="52" t="str">
        <f>IF(AND('331-CT'!$E$7=TH!H450,OR(L450="331",M450="331")),"331",IF(AND(OR(L450="131",M450="131"),H450='131-CT'!$E$7),"131",""))</f>
        <v/>
      </c>
      <c r="O450" s="89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15"/>
      <c r="AC450" s="211" t="str">
        <f>IF(F450=VLOOKUP(F450,NXT!$C$12:$C$345,1,0),"","x")</f>
        <v/>
      </c>
      <c r="AD450" s="211"/>
      <c r="AE450" s="211"/>
    </row>
    <row r="451" spans="1:31" s="560" customFormat="1" ht="15.75" customHeight="1">
      <c r="A451" s="204" t="str">
        <f>IF(B451&lt;&gt;"",IF(AND(B451&gt;=_TM1,B451&lt;=_TM2,OR(TH!L451="1111",TH!M451="1111")),TH!D451,""),"")</f>
        <v/>
      </c>
      <c r="B451" s="36">
        <f t="shared" si="33"/>
        <v>9</v>
      </c>
      <c r="C451" s="184">
        <f t="shared" si="34"/>
        <v>41912</v>
      </c>
      <c r="D451" s="184" t="s">
        <v>981</v>
      </c>
      <c r="E451" s="191">
        <v>41912</v>
      </c>
      <c r="F451" s="192" t="s">
        <v>713</v>
      </c>
      <c r="G451" s="468" t="s">
        <v>714</v>
      </c>
      <c r="H451" s="7" t="s">
        <v>715</v>
      </c>
      <c r="I451" s="256">
        <v>169</v>
      </c>
      <c r="J451" s="256">
        <v>14000</v>
      </c>
      <c r="K451" s="568">
        <f>ROUND(I451*J451,0)</f>
        <v>2366000</v>
      </c>
      <c r="L451" s="569" t="s">
        <v>253</v>
      </c>
      <c r="M451" s="569" t="s">
        <v>177</v>
      </c>
      <c r="N451" s="52" t="str">
        <f>IF(AND('331-CT'!$E$7=TH!H451,OR(L451="331",M451="331")),"331",IF(AND(OR(L451="131",M451="131"),H451='131-CT'!$E$7),"131",""))</f>
        <v/>
      </c>
      <c r="O451" s="89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15"/>
      <c r="AC451" s="211" t="str">
        <f>IF(F451=VLOOKUP(F451,NXT!$C$12:$C$345,1,0),"","x")</f>
        <v/>
      </c>
      <c r="AD451" s="211"/>
      <c r="AE451" s="211"/>
    </row>
    <row r="452" spans="1:31" s="560" customFormat="1" ht="15.75" customHeight="1">
      <c r="A452" s="204" t="str">
        <f>IF(B452&lt;&gt;"",IF(AND(B452&gt;=_TM1,B452&lt;=_TM2,OR(TH!L452="1111",TH!M452="1111")),TH!D452,""),"")</f>
        <v/>
      </c>
      <c r="B452" s="36">
        <f t="shared" si="33"/>
        <v>9</v>
      </c>
      <c r="C452" s="184">
        <f t="shared" si="34"/>
        <v>41912</v>
      </c>
      <c r="D452" s="184" t="s">
        <v>981</v>
      </c>
      <c r="E452" s="191">
        <v>41912</v>
      </c>
      <c r="F452" s="192" t="s">
        <v>421</v>
      </c>
      <c r="G452" s="468" t="s">
        <v>714</v>
      </c>
      <c r="H452" s="7" t="s">
        <v>715</v>
      </c>
      <c r="I452" s="256"/>
      <c r="J452" s="256"/>
      <c r="K452" s="568">
        <v>606200</v>
      </c>
      <c r="L452" s="569" t="s">
        <v>253</v>
      </c>
      <c r="M452" s="569" t="s">
        <v>365</v>
      </c>
      <c r="N452" s="52" t="str">
        <f>IF(AND('331-CT'!$E$7=TH!H452,OR(L452="331",M452="331")),"331",IF(AND(OR(L452="131",M452="131"),H452='131-CT'!$E$7),"131",""))</f>
        <v/>
      </c>
      <c r="O452" s="89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15"/>
      <c r="AC452" s="560" t="str">
        <f>IF(VLOOKUP(H452,DS_131,1,0)&lt;&gt;"","","x")</f>
        <v/>
      </c>
      <c r="AD452" s="211"/>
      <c r="AE452" s="211"/>
    </row>
    <row r="453" spans="1:31" s="560" customFormat="1" ht="15.75" customHeight="1">
      <c r="A453" s="204" t="str">
        <f>IF(B453&lt;&gt;"",IF(AND(B453&gt;=_TM1,B453&lt;=_TM2,OR(TH!L453="1111",TH!M453="1111")),TH!D453,""),"")</f>
        <v/>
      </c>
      <c r="B453" s="36">
        <f t="shared" si="33"/>
        <v>9</v>
      </c>
      <c r="C453" s="184">
        <f t="shared" si="34"/>
        <v>41912</v>
      </c>
      <c r="D453" s="184" t="s">
        <v>982</v>
      </c>
      <c r="E453" s="191">
        <v>41912</v>
      </c>
      <c r="F453" s="192" t="s">
        <v>671</v>
      </c>
      <c r="G453" s="468" t="s">
        <v>716</v>
      </c>
      <c r="H453" s="7" t="s">
        <v>673</v>
      </c>
      <c r="I453" s="256">
        <v>993</v>
      </c>
      <c r="J453" s="256">
        <v>9500</v>
      </c>
      <c r="K453" s="568">
        <f>ROUND(I453*J453,0)</f>
        <v>9433500</v>
      </c>
      <c r="L453" s="569" t="s">
        <v>253</v>
      </c>
      <c r="M453" s="569" t="s">
        <v>177</v>
      </c>
      <c r="N453" s="52" t="str">
        <f>IF(AND('331-CT'!$E$7=TH!H453,OR(L453="331",M453="331")),"331",IF(AND(OR(L453="131",M453="131"),H453='131-CT'!$E$7),"131",""))</f>
        <v/>
      </c>
      <c r="O453" s="89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15"/>
      <c r="AC453" s="211" t="str">
        <f>IF(F453=VLOOKUP(F453,NXT!$C$12:$C$345,1,0),"","x")</f>
        <v/>
      </c>
      <c r="AD453" s="211"/>
      <c r="AE453" s="211"/>
    </row>
    <row r="454" spans="1:31" s="560" customFormat="1" ht="15.75" customHeight="1">
      <c r="A454" s="204" t="str">
        <f>IF(B454&lt;&gt;"",IF(AND(B454&gt;=_TM1,B454&lt;=_TM2,OR(TH!L454="1111",TH!M454="1111")),TH!D454,""),"")</f>
        <v/>
      </c>
      <c r="B454" s="36">
        <f t="shared" si="33"/>
        <v>9</v>
      </c>
      <c r="C454" s="184">
        <f t="shared" si="34"/>
        <v>41912</v>
      </c>
      <c r="D454" s="184" t="s">
        <v>982</v>
      </c>
      <c r="E454" s="191">
        <v>41912</v>
      </c>
      <c r="F454" s="192" t="s">
        <v>421</v>
      </c>
      <c r="G454" s="468" t="s">
        <v>716</v>
      </c>
      <c r="H454" s="7" t="s">
        <v>673</v>
      </c>
      <c r="I454" s="256"/>
      <c r="J454" s="256"/>
      <c r="K454" s="568">
        <v>943350</v>
      </c>
      <c r="L454" s="569" t="s">
        <v>253</v>
      </c>
      <c r="M454" s="569" t="s">
        <v>365</v>
      </c>
      <c r="N454" s="52" t="str">
        <f>IF(AND('331-CT'!$E$7=TH!H454,OR(L454="331",M454="331")),"331",IF(AND(OR(L454="131",M454="131"),H454='131-CT'!$E$7),"131",""))</f>
        <v/>
      </c>
      <c r="O454" s="89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15"/>
      <c r="AC454" s="560" t="str">
        <f>IF(VLOOKUP(H454,DS_131,1,0)&lt;&gt;"","","x")</f>
        <v/>
      </c>
      <c r="AD454" s="211"/>
      <c r="AE454" s="211"/>
    </row>
    <row r="455" spans="1:31" s="560" customFormat="1" ht="15.75" customHeight="1">
      <c r="A455" s="204" t="str">
        <f>IF(B455&lt;&gt;"",IF(AND(B455&gt;=_TM1,B455&lt;=_TM2,OR(TH!L455="1111",TH!M455="1111")),TH!D455,""),"")</f>
        <v/>
      </c>
      <c r="B455" s="36">
        <f t="shared" si="33"/>
        <v>9</v>
      </c>
      <c r="C455" s="184">
        <f t="shared" si="34"/>
        <v>41912</v>
      </c>
      <c r="D455" s="184" t="s">
        <v>983</v>
      </c>
      <c r="E455" s="191">
        <v>41912</v>
      </c>
      <c r="F455" s="192" t="s">
        <v>717</v>
      </c>
      <c r="G455" s="468" t="s">
        <v>718</v>
      </c>
      <c r="H455" s="7" t="s">
        <v>689</v>
      </c>
      <c r="I455" s="256">
        <v>247</v>
      </c>
      <c r="J455" s="256">
        <v>33000</v>
      </c>
      <c r="K455" s="568">
        <f>ROUND(I455*J455,0)</f>
        <v>8151000</v>
      </c>
      <c r="L455" s="569" t="s">
        <v>253</v>
      </c>
      <c r="M455" s="569" t="s">
        <v>177</v>
      </c>
      <c r="N455" s="52" t="str">
        <f>IF(AND('331-CT'!$E$7=TH!H455,OR(L455="331",M455="331")),"331",IF(AND(OR(L455="131",M455="131"),H455='131-CT'!$E$7),"131",""))</f>
        <v/>
      </c>
      <c r="O455" s="89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15"/>
      <c r="AC455" s="211" t="str">
        <f>IF(F455=VLOOKUP(F455,NXT!$C$12:$C$345,1,0),"","x")</f>
        <v/>
      </c>
      <c r="AD455" s="211"/>
      <c r="AE455" s="211"/>
    </row>
    <row r="456" spans="1:31" s="560" customFormat="1" ht="15.75" customHeight="1">
      <c r="A456" s="204" t="str">
        <f>IF(B456&lt;&gt;"",IF(AND(B456&gt;=_TM1,B456&lt;=_TM2,OR(TH!L456="1111",TH!M456="1111")),TH!D456,""),"")</f>
        <v/>
      </c>
      <c r="B456" s="36">
        <f t="shared" si="33"/>
        <v>9</v>
      </c>
      <c r="C456" s="184">
        <f t="shared" si="34"/>
        <v>41912</v>
      </c>
      <c r="D456" s="184" t="s">
        <v>983</v>
      </c>
      <c r="E456" s="191">
        <v>41912</v>
      </c>
      <c r="F456" s="192" t="s">
        <v>421</v>
      </c>
      <c r="G456" s="468" t="s">
        <v>718</v>
      </c>
      <c r="H456" s="7" t="s">
        <v>689</v>
      </c>
      <c r="I456" s="256"/>
      <c r="J456" s="256"/>
      <c r="K456" s="568">
        <v>815100</v>
      </c>
      <c r="L456" s="569" t="s">
        <v>253</v>
      </c>
      <c r="M456" s="569" t="s">
        <v>365</v>
      </c>
      <c r="N456" s="52" t="str">
        <f>IF(AND('331-CT'!$E$7=TH!H456,OR(L456="331",M456="331")),"331",IF(AND(OR(L456="131",M456="131"),H456='131-CT'!$E$7),"131",""))</f>
        <v/>
      </c>
      <c r="O456" s="89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15"/>
      <c r="AC456" s="560" t="str">
        <f>IF(VLOOKUP(H456,DS_131,1,0)&lt;&gt;"","","x")</f>
        <v/>
      </c>
      <c r="AD456" s="211"/>
      <c r="AE456" s="211"/>
    </row>
    <row r="457" spans="1:31" s="560" customFormat="1" ht="15.75" customHeight="1">
      <c r="A457" s="204" t="str">
        <f>IF(B457&lt;&gt;"",IF(AND(B457&gt;=_TM1,B457&lt;=_TM2,OR(TH!L457="1111",TH!M457="1111")),TH!D457,""),"")</f>
        <v/>
      </c>
      <c r="B457" s="36">
        <f t="shared" si="33"/>
        <v>9</v>
      </c>
      <c r="C457" s="184">
        <f t="shared" si="34"/>
        <v>41912</v>
      </c>
      <c r="D457" s="184" t="s">
        <v>985</v>
      </c>
      <c r="E457" s="191">
        <v>41912</v>
      </c>
      <c r="F457" s="192" t="s">
        <v>693</v>
      </c>
      <c r="G457" s="468" t="s">
        <v>719</v>
      </c>
      <c r="H457" s="7" t="s">
        <v>642</v>
      </c>
      <c r="I457" s="256">
        <v>498</v>
      </c>
      <c r="J457" s="256">
        <v>5700</v>
      </c>
      <c r="K457" s="568">
        <f>ROUND(I457*J457,0)</f>
        <v>2838600</v>
      </c>
      <c r="L457" s="569" t="s">
        <v>253</v>
      </c>
      <c r="M457" s="569" t="s">
        <v>177</v>
      </c>
      <c r="N457" s="52" t="str">
        <f>IF(AND('331-CT'!$E$7=TH!H457,OR(L457="331",M457="331")),"331",IF(AND(OR(L457="131",M457="131"),H457='131-CT'!$E$7),"131",""))</f>
        <v/>
      </c>
      <c r="O457" s="89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15"/>
      <c r="AC457" s="211" t="str">
        <f>IF(F457=VLOOKUP(F457,NXT!$C$12:$C$345,1,0),"","x")</f>
        <v/>
      </c>
      <c r="AD457" s="211"/>
      <c r="AE457" s="211"/>
    </row>
    <row r="458" spans="1:31" s="560" customFormat="1" ht="15.75" customHeight="1">
      <c r="A458" s="204" t="str">
        <f>IF(B458&lt;&gt;"",IF(AND(B458&gt;=_TM1,B458&lt;=_TM2,OR(TH!L458="1111",TH!M458="1111")),TH!D458,""),"")</f>
        <v/>
      </c>
      <c r="B458" s="36">
        <f t="shared" si="33"/>
        <v>9</v>
      </c>
      <c r="C458" s="184">
        <f t="shared" si="34"/>
        <v>41912</v>
      </c>
      <c r="D458" s="184" t="s">
        <v>985</v>
      </c>
      <c r="E458" s="191">
        <v>41912</v>
      </c>
      <c r="F458" s="192" t="s">
        <v>694</v>
      </c>
      <c r="G458" s="468" t="s">
        <v>719</v>
      </c>
      <c r="H458" s="7" t="s">
        <v>642</v>
      </c>
      <c r="I458" s="256">
        <v>500</v>
      </c>
      <c r="J458" s="256">
        <v>5000</v>
      </c>
      <c r="K458" s="568">
        <f>ROUND(I458*J458,0)</f>
        <v>2500000</v>
      </c>
      <c r="L458" s="569" t="s">
        <v>253</v>
      </c>
      <c r="M458" s="569" t="s">
        <v>177</v>
      </c>
      <c r="N458" s="52" t="str">
        <f>IF(AND('331-CT'!$E$7=TH!H458,OR(L458="331",M458="331")),"331",IF(AND(OR(L458="131",M458="131"),H458='131-CT'!$E$7),"131",""))</f>
        <v/>
      </c>
      <c r="O458" s="89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15"/>
      <c r="AC458" s="211" t="str">
        <f>IF(F458=VLOOKUP(F458,NXT!$C$12:$C$345,1,0),"","x")</f>
        <v/>
      </c>
      <c r="AD458" s="211"/>
      <c r="AE458" s="211"/>
    </row>
    <row r="459" spans="1:31" s="560" customFormat="1" ht="15.75" customHeight="1">
      <c r="A459" s="204" t="str">
        <f>IF(B459&lt;&gt;"",IF(AND(B459&gt;=_TM1,B459&lt;=_TM2,OR(TH!L459="1111",TH!M459="1111")),TH!D459,""),"")</f>
        <v/>
      </c>
      <c r="B459" s="36">
        <f t="shared" si="33"/>
        <v>9</v>
      </c>
      <c r="C459" s="184">
        <f t="shared" si="34"/>
        <v>41912</v>
      </c>
      <c r="D459" s="184" t="s">
        <v>985</v>
      </c>
      <c r="E459" s="191">
        <v>41912</v>
      </c>
      <c r="F459" s="192" t="s">
        <v>421</v>
      </c>
      <c r="G459" s="468" t="s">
        <v>719</v>
      </c>
      <c r="H459" s="7" t="s">
        <v>642</v>
      </c>
      <c r="I459" s="256"/>
      <c r="J459" s="256"/>
      <c r="K459" s="568">
        <v>533860</v>
      </c>
      <c r="L459" s="569" t="s">
        <v>253</v>
      </c>
      <c r="M459" s="569" t="s">
        <v>365</v>
      </c>
      <c r="N459" s="52" t="str">
        <f>IF(AND('331-CT'!$E$7=TH!H459,OR(L459="331",M459="331")),"331",IF(AND(OR(L459="131",M459="131"),H459='131-CT'!$E$7),"131",""))</f>
        <v/>
      </c>
      <c r="O459" s="89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15"/>
      <c r="AC459" s="560" t="str">
        <f>IF(VLOOKUP(H459,DS_131,1,0)&lt;&gt;"","","x")</f>
        <v/>
      </c>
      <c r="AD459" s="211"/>
      <c r="AE459" s="211"/>
    </row>
    <row r="460" spans="1:31" s="560" customFormat="1" ht="15.75" customHeight="1">
      <c r="A460" s="204" t="str">
        <f>IF(B460&lt;&gt;"",IF(AND(B460&gt;=_TM1,B460&lt;=_TM2,OR(TH!L460="1111",TH!M460="1111")),TH!D460,""),"")</f>
        <v/>
      </c>
      <c r="B460" s="36">
        <f t="shared" si="33"/>
        <v>9</v>
      </c>
      <c r="C460" s="184">
        <f t="shared" si="34"/>
        <v>41912</v>
      </c>
      <c r="D460" s="184" t="s">
        <v>986</v>
      </c>
      <c r="E460" s="191">
        <v>41912</v>
      </c>
      <c r="F460" s="192" t="s">
        <v>720</v>
      </c>
      <c r="G460" s="468" t="s">
        <v>721</v>
      </c>
      <c r="H460" s="7" t="s">
        <v>722</v>
      </c>
      <c r="I460" s="256">
        <v>1000</v>
      </c>
      <c r="J460" s="256">
        <v>17500</v>
      </c>
      <c r="K460" s="568">
        <f>ROUND(I460*J460,0)</f>
        <v>17500000</v>
      </c>
      <c r="L460" s="569" t="s">
        <v>253</v>
      </c>
      <c r="M460" s="569" t="s">
        <v>177</v>
      </c>
      <c r="N460" s="52" t="str">
        <f>IF(AND('331-CT'!$E$7=TH!H460,OR(L460="331",M460="331")),"331",IF(AND(OR(L460="131",M460="131"),H460='131-CT'!$E$7),"131",""))</f>
        <v/>
      </c>
      <c r="O460" s="89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15"/>
      <c r="AC460" s="211" t="str">
        <f>IF(F460=VLOOKUP(F460,NXT!$C$12:$C$345,1,0),"","x")</f>
        <v/>
      </c>
      <c r="AD460" s="211"/>
      <c r="AE460" s="211"/>
    </row>
    <row r="461" spans="1:31" s="560" customFormat="1" ht="15.75" customHeight="1">
      <c r="A461" s="204" t="str">
        <f>IF(B461&lt;&gt;"",IF(AND(B461&gt;=_TM1,B461&lt;=_TM2,OR(TH!L461="1111",TH!M461="1111")),TH!D461,""),"")</f>
        <v/>
      </c>
      <c r="B461" s="36">
        <f t="shared" si="33"/>
        <v>9</v>
      </c>
      <c r="C461" s="184">
        <f t="shared" si="34"/>
        <v>41912</v>
      </c>
      <c r="D461" s="184" t="s">
        <v>986</v>
      </c>
      <c r="E461" s="191">
        <v>41912</v>
      </c>
      <c r="F461" s="192" t="s">
        <v>421</v>
      </c>
      <c r="G461" s="468" t="s">
        <v>721</v>
      </c>
      <c r="H461" s="7" t="s">
        <v>722</v>
      </c>
      <c r="I461" s="256"/>
      <c r="J461" s="256"/>
      <c r="K461" s="568">
        <v>1750000</v>
      </c>
      <c r="L461" s="569" t="s">
        <v>253</v>
      </c>
      <c r="M461" s="569" t="s">
        <v>365</v>
      </c>
      <c r="N461" s="52" t="str">
        <f>IF(AND('331-CT'!$E$7=TH!H461,OR(L461="331",M461="331")),"331",IF(AND(OR(L461="131",M461="131"),H461='131-CT'!$E$7),"131",""))</f>
        <v/>
      </c>
      <c r="O461" s="89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15"/>
      <c r="AC461" s="560" t="str">
        <f>IF(VLOOKUP(H461,DS_131,1,0)&lt;&gt;"","","x")</f>
        <v/>
      </c>
      <c r="AD461" s="211"/>
      <c r="AE461" s="211"/>
    </row>
    <row r="462" spans="1:31" s="560" customFormat="1" ht="15.75" customHeight="1">
      <c r="A462" s="204" t="str">
        <f>IF(B462&lt;&gt;"",IF(AND(B462&gt;=_TM1,B462&lt;=_TM2,OR(TH!L462="1111",TH!M462="1111")),TH!D462,""),"")</f>
        <v/>
      </c>
      <c r="B462" s="36">
        <f t="shared" si="33"/>
        <v>10</v>
      </c>
      <c r="C462" s="184">
        <f t="shared" si="34"/>
        <v>41918</v>
      </c>
      <c r="D462" s="184" t="s">
        <v>912</v>
      </c>
      <c r="E462" s="191">
        <v>41918</v>
      </c>
      <c r="F462" s="192" t="s">
        <v>723</v>
      </c>
      <c r="G462" s="468" t="s">
        <v>724</v>
      </c>
      <c r="H462" s="7" t="s">
        <v>685</v>
      </c>
      <c r="I462" s="256">
        <v>218</v>
      </c>
      <c r="J462" s="256">
        <v>30000</v>
      </c>
      <c r="K462" s="568">
        <f>ROUND(I462*J462,0)</f>
        <v>6540000</v>
      </c>
      <c r="L462" s="569" t="s">
        <v>253</v>
      </c>
      <c r="M462" s="569" t="s">
        <v>177</v>
      </c>
      <c r="N462" s="52" t="str">
        <f>IF(AND('331-CT'!$E$7=TH!H462,OR(L462="331",M462="331")),"331",IF(AND(OR(L462="131",M462="131"),H462='131-CT'!$E$7),"131",""))</f>
        <v/>
      </c>
      <c r="O462" s="89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15"/>
      <c r="AC462" s="211" t="str">
        <f>IF(F462=VLOOKUP(F462,NXT!$C$12:$C$345,1,0),"","x")</f>
        <v/>
      </c>
      <c r="AD462" s="211"/>
      <c r="AE462" s="211"/>
    </row>
    <row r="463" spans="1:31" s="560" customFormat="1" ht="15.75" customHeight="1">
      <c r="A463" s="204" t="str">
        <f>IF(B463&lt;&gt;"",IF(AND(B463&gt;=_TM1,B463&lt;=_TM2,OR(TH!L463="1111",TH!M463="1111")),TH!D463,""),"")</f>
        <v/>
      </c>
      <c r="B463" s="36">
        <f t="shared" si="33"/>
        <v>10</v>
      </c>
      <c r="C463" s="184">
        <f t="shared" si="34"/>
        <v>41918</v>
      </c>
      <c r="D463" s="184" t="s">
        <v>912</v>
      </c>
      <c r="E463" s="191">
        <v>41918</v>
      </c>
      <c r="F463" s="192" t="s">
        <v>747</v>
      </c>
      <c r="G463" s="468" t="s">
        <v>724</v>
      </c>
      <c r="H463" s="7" t="s">
        <v>685</v>
      </c>
      <c r="I463" s="257">
        <v>436</v>
      </c>
      <c r="J463" s="257">
        <v>1440</v>
      </c>
      <c r="K463" s="568">
        <f>ROUND(I463*J463,0)</f>
        <v>627840</v>
      </c>
      <c r="L463" s="569" t="s">
        <v>253</v>
      </c>
      <c r="M463" s="569" t="s">
        <v>177</v>
      </c>
      <c r="N463" s="52" t="str">
        <f>IF(AND('331-CT'!$E$7=TH!H463,OR(L463="331",M463="331")),"331",IF(AND(OR(L463="131",M463="131"),H463='131-CT'!$E$7),"131",""))</f>
        <v/>
      </c>
      <c r="O463" s="896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15"/>
      <c r="AC463" s="211" t="str">
        <f>IF(F463=VLOOKUP(F463,NXT!$C$12:$C$345,1,0),"","x")</f>
        <v/>
      </c>
      <c r="AD463" s="211"/>
      <c r="AE463" s="211"/>
    </row>
    <row r="464" spans="1:31" s="560" customFormat="1" ht="15.75" customHeight="1">
      <c r="A464" s="204" t="str">
        <f>IF(B464&lt;&gt;"",IF(AND(B464&gt;=_TM1,B464&lt;=_TM2,OR(TH!L464="1111",TH!M464="1111")),TH!D464,""),"")</f>
        <v/>
      </c>
      <c r="B464" s="36">
        <f t="shared" si="33"/>
        <v>10</v>
      </c>
      <c r="C464" s="184">
        <f t="shared" si="34"/>
        <v>41918</v>
      </c>
      <c r="D464" s="184" t="s">
        <v>912</v>
      </c>
      <c r="E464" s="191">
        <v>41918</v>
      </c>
      <c r="F464" s="192" t="s">
        <v>421</v>
      </c>
      <c r="G464" s="468" t="s">
        <v>724</v>
      </c>
      <c r="H464" s="7" t="s">
        <v>685</v>
      </c>
      <c r="I464" s="256"/>
      <c r="J464" s="256"/>
      <c r="K464" s="568">
        <v>716784</v>
      </c>
      <c r="L464" s="569" t="s">
        <v>253</v>
      </c>
      <c r="M464" s="569" t="s">
        <v>365</v>
      </c>
      <c r="N464" s="52" t="str">
        <f>IF(AND('331-CT'!$E$7=TH!H464,OR(L464="331",M464="331")),"331",IF(AND(OR(L464="131",M464="131"),H464='131-CT'!$E$7),"131",""))</f>
        <v/>
      </c>
      <c r="O464" s="89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15"/>
      <c r="AC464" s="560" t="str">
        <f>IF(VLOOKUP(H464,DS_131,1,0)&lt;&gt;"","","x")</f>
        <v/>
      </c>
      <c r="AD464" s="211"/>
      <c r="AE464" s="211"/>
    </row>
    <row r="465" spans="1:31" s="560" customFormat="1" ht="15.75" customHeight="1">
      <c r="A465" s="204" t="str">
        <f>IF(B465&lt;&gt;"",IF(AND(B465&gt;=_TM1,B465&lt;=_TM2,OR(TH!L465="1111",TH!M465="1111")),TH!D465,""),"")</f>
        <v/>
      </c>
      <c r="B465" s="36">
        <f t="shared" si="33"/>
        <v>10</v>
      </c>
      <c r="C465" s="184">
        <f t="shared" si="34"/>
        <v>41918</v>
      </c>
      <c r="D465" s="184" t="s">
        <v>913</v>
      </c>
      <c r="E465" s="191">
        <v>41918</v>
      </c>
      <c r="F465" s="192" t="s">
        <v>725</v>
      </c>
      <c r="G465" s="468" t="s">
        <v>726</v>
      </c>
      <c r="H465" s="7" t="s">
        <v>470</v>
      </c>
      <c r="I465" s="256">
        <v>267</v>
      </c>
      <c r="J465" s="256">
        <v>3700</v>
      </c>
      <c r="K465" s="568">
        <f>ROUND(I465*J465,0)</f>
        <v>987900</v>
      </c>
      <c r="L465" s="569" t="s">
        <v>253</v>
      </c>
      <c r="M465" s="569" t="s">
        <v>177</v>
      </c>
      <c r="N465" s="52" t="str">
        <f>IF(AND('331-CT'!$E$7=TH!H465,OR(L465="331",M465="331")),"331",IF(AND(OR(L465="131",M465="131"),H465='131-CT'!$E$7),"131",""))</f>
        <v/>
      </c>
      <c r="O465" s="89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>x</v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15"/>
      <c r="AC465" s="211" t="str">
        <f>IF(F465=VLOOKUP(F465,NXT!$C$12:$C$345,1,0),"","x")</f>
        <v/>
      </c>
      <c r="AD465" s="211"/>
      <c r="AE465" s="211"/>
    </row>
    <row r="466" spans="1:31" s="560" customFormat="1" ht="15.75" customHeight="1">
      <c r="A466" s="204" t="str">
        <f>IF(B466&lt;&gt;"",IF(AND(B466&gt;=_TM1,B466&lt;=_TM2,OR(TH!L466="1111",TH!M466="1111")),TH!D466,""),"")</f>
        <v/>
      </c>
      <c r="B466" s="36">
        <f t="shared" si="33"/>
        <v>10</v>
      </c>
      <c r="C466" s="184">
        <f t="shared" si="34"/>
        <v>41918</v>
      </c>
      <c r="D466" s="184" t="s">
        <v>913</v>
      </c>
      <c r="E466" s="191">
        <v>41918</v>
      </c>
      <c r="F466" s="192" t="s">
        <v>727</v>
      </c>
      <c r="G466" s="468" t="s">
        <v>726</v>
      </c>
      <c r="H466" s="7" t="s">
        <v>470</v>
      </c>
      <c r="I466" s="256">
        <v>120</v>
      </c>
      <c r="J466" s="256">
        <v>6500</v>
      </c>
      <c r="K466" s="568">
        <f>ROUND(I466*J466,0)</f>
        <v>780000</v>
      </c>
      <c r="L466" s="569" t="s">
        <v>253</v>
      </c>
      <c r="M466" s="569" t="s">
        <v>177</v>
      </c>
      <c r="N466" s="52" t="str">
        <f>IF(AND('331-CT'!$E$7=TH!H466,OR(L466="331",M466="331")),"331",IF(AND(OR(L466="131",M466="131"),H466='131-CT'!$E$7),"131",""))</f>
        <v/>
      </c>
      <c r="O466" s="89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>x</v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15"/>
      <c r="AC466" s="211" t="str">
        <f>IF(F466=VLOOKUP(F466,NXT!$C$12:$C$345,1,0),"","x")</f>
        <v/>
      </c>
      <c r="AD466" s="211"/>
      <c r="AE466" s="211"/>
    </row>
    <row r="467" spans="1:31" s="560" customFormat="1" ht="15.75" customHeight="1">
      <c r="A467" s="204" t="str">
        <f>IF(B467&lt;&gt;"",IF(AND(B467&gt;=_TM1,B467&lt;=_TM2,OR(TH!L467="1111",TH!M467="1111")),TH!D467,""),"")</f>
        <v/>
      </c>
      <c r="B467" s="36">
        <f t="shared" si="33"/>
        <v>10</v>
      </c>
      <c r="C467" s="184">
        <f t="shared" si="34"/>
        <v>41918</v>
      </c>
      <c r="D467" s="184" t="s">
        <v>913</v>
      </c>
      <c r="E467" s="191">
        <v>41918</v>
      </c>
      <c r="F467" s="192" t="s">
        <v>728</v>
      </c>
      <c r="G467" s="468" t="s">
        <v>726</v>
      </c>
      <c r="H467" s="7" t="s">
        <v>470</v>
      </c>
      <c r="I467" s="256">
        <v>230</v>
      </c>
      <c r="J467" s="256">
        <v>6500</v>
      </c>
      <c r="K467" s="568">
        <f>ROUND(I467*J467,0)</f>
        <v>1495000</v>
      </c>
      <c r="L467" s="569" t="s">
        <v>253</v>
      </c>
      <c r="M467" s="569" t="s">
        <v>177</v>
      </c>
      <c r="N467" s="52" t="str">
        <f>IF(AND('331-CT'!$E$7=TH!H467,OR(L467="331",M467="331")),"331",IF(AND(OR(L467="131",M467="131"),H467='131-CT'!$E$7),"131",""))</f>
        <v/>
      </c>
      <c r="O467" s="89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>x</v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15"/>
      <c r="AC467" s="211" t="str">
        <f>IF(F467=VLOOKUP(F467,NXT!$C$12:$C$345,1,0),"","x")</f>
        <v/>
      </c>
      <c r="AD467" s="211"/>
      <c r="AE467" s="211"/>
    </row>
    <row r="468" spans="1:31" s="560" customFormat="1" ht="15.75" customHeight="1">
      <c r="A468" s="204" t="str">
        <f>IF(B468&lt;&gt;"",IF(AND(B468&gt;=_TM1,B468&lt;=_TM2,OR(TH!L468="1111",TH!M468="1111")),TH!D468,""),"")</f>
        <v/>
      </c>
      <c r="B468" s="36">
        <f t="shared" si="33"/>
        <v>10</v>
      </c>
      <c r="C468" s="184">
        <f t="shared" si="34"/>
        <v>41918</v>
      </c>
      <c r="D468" s="184" t="s">
        <v>913</v>
      </c>
      <c r="E468" s="191">
        <v>41918</v>
      </c>
      <c r="F468" s="192" t="s">
        <v>729</v>
      </c>
      <c r="G468" s="468" t="s">
        <v>726</v>
      </c>
      <c r="H468" s="7" t="s">
        <v>470</v>
      </c>
      <c r="I468" s="256">
        <v>230</v>
      </c>
      <c r="J468" s="256">
        <v>5500</v>
      </c>
      <c r="K468" s="568">
        <f>ROUND(I468*J468,0)</f>
        <v>1265000</v>
      </c>
      <c r="L468" s="569" t="s">
        <v>253</v>
      </c>
      <c r="M468" s="569" t="s">
        <v>177</v>
      </c>
      <c r="N468" s="52" t="str">
        <f>IF(AND('331-CT'!$E$7=TH!H468,OR(L468="331",M468="331")),"331",IF(AND(OR(L468="131",M468="131"),H468='131-CT'!$E$7),"131",""))</f>
        <v/>
      </c>
      <c r="O468" s="89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>x</v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15"/>
      <c r="AC468" s="211" t="str">
        <f>IF(F468=VLOOKUP(F468,NXT!$C$12:$C$345,1,0),"","x")</f>
        <v/>
      </c>
      <c r="AD468" s="211"/>
      <c r="AE468" s="211"/>
    </row>
    <row r="469" spans="1:31" s="560" customFormat="1" ht="15.75" customHeight="1">
      <c r="A469" s="204" t="str">
        <f>IF(B469&lt;&gt;"",IF(AND(B469&gt;=_TM1,B469&lt;=_TM2,OR(TH!L469="1111",TH!M469="1111")),TH!D469,""),"")</f>
        <v/>
      </c>
      <c r="B469" s="36">
        <f t="shared" si="33"/>
        <v>10</v>
      </c>
      <c r="C469" s="184">
        <f t="shared" si="34"/>
        <v>41918</v>
      </c>
      <c r="D469" s="184" t="s">
        <v>327</v>
      </c>
      <c r="E469" s="191">
        <v>41918</v>
      </c>
      <c r="F469" s="192" t="s">
        <v>730</v>
      </c>
      <c r="G469" s="468" t="s">
        <v>726</v>
      </c>
      <c r="H469" s="7" t="s">
        <v>470</v>
      </c>
      <c r="I469" s="256">
        <v>1</v>
      </c>
      <c r="J469" s="256">
        <v>1000000</v>
      </c>
      <c r="K469" s="568">
        <f>ROUND(I469*J469,0)</f>
        <v>1000000</v>
      </c>
      <c r="L469" s="569" t="s">
        <v>253</v>
      </c>
      <c r="M469" s="569" t="s">
        <v>177</v>
      </c>
      <c r="N469" s="52" t="str">
        <f>IF(AND('331-CT'!$E$7=TH!H469,OR(L469="331",M469="331")),"331",IF(AND(OR(L469="131",M469="131"),H469='131-CT'!$E$7),"131",""))</f>
        <v/>
      </c>
      <c r="O469" s="89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15"/>
      <c r="AC469" s="211"/>
      <c r="AD469" s="211"/>
      <c r="AE469" s="211"/>
    </row>
    <row r="470" spans="1:31" s="560" customFormat="1" ht="15.75" customHeight="1">
      <c r="A470" s="204" t="str">
        <f>IF(B470&lt;&gt;"",IF(AND(B470&gt;=_TM1,B470&lt;=_TM2,OR(TH!L470="1111",TH!M470="1111")),TH!D470,""),"")</f>
        <v/>
      </c>
      <c r="B470" s="36">
        <f t="shared" si="33"/>
        <v>10</v>
      </c>
      <c r="C470" s="184">
        <f t="shared" si="34"/>
        <v>41918</v>
      </c>
      <c r="D470" s="184" t="s">
        <v>913</v>
      </c>
      <c r="E470" s="191">
        <v>41918</v>
      </c>
      <c r="F470" s="192" t="s">
        <v>421</v>
      </c>
      <c r="G470" s="468" t="s">
        <v>726</v>
      </c>
      <c r="H470" s="7" t="s">
        <v>470</v>
      </c>
      <c r="I470" s="257"/>
      <c r="J470" s="257"/>
      <c r="K470" s="568">
        <v>552790</v>
      </c>
      <c r="L470" s="569" t="s">
        <v>253</v>
      </c>
      <c r="M470" s="569" t="s">
        <v>365</v>
      </c>
      <c r="N470" s="52" t="str">
        <f>IF(AND('331-CT'!$E$7=TH!H470,OR(L470="331",M470="331")),"331",IF(AND(OR(L470="131",M470="131"),H470='131-CT'!$E$7),"131",""))</f>
        <v/>
      </c>
      <c r="O470" s="89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15"/>
      <c r="AC470" s="560" t="str">
        <f>IF(VLOOKUP(H470,DS_131,1,0)&lt;&gt;"","","x")</f>
        <v/>
      </c>
      <c r="AD470" s="211"/>
      <c r="AE470" s="211"/>
    </row>
    <row r="471" spans="1:31" s="211" customFormat="1" ht="15.75" customHeight="1">
      <c r="A471" s="204" t="str">
        <f>IF(B471&lt;&gt;"",IF(AND(B471&gt;=_TM1,B471&lt;=_TM2,OR(TH!L471="1111",TH!M471="1111")),TH!D471,""),"")</f>
        <v/>
      </c>
      <c r="B471" s="36">
        <f t="shared" si="33"/>
        <v>10</v>
      </c>
      <c r="C471" s="184">
        <f t="shared" si="34"/>
        <v>41922</v>
      </c>
      <c r="D471" s="184" t="s">
        <v>914</v>
      </c>
      <c r="E471" s="191">
        <v>41922</v>
      </c>
      <c r="F471" s="192" t="s">
        <v>516</v>
      </c>
      <c r="G471" s="468" t="s">
        <v>731</v>
      </c>
      <c r="H471" s="7" t="s">
        <v>910</v>
      </c>
      <c r="I471" s="257">
        <v>1996</v>
      </c>
      <c r="J471" s="257">
        <v>12000</v>
      </c>
      <c r="K471" s="568">
        <f>ROUND(I471*J471,0)</f>
        <v>23952000</v>
      </c>
      <c r="L471" s="569" t="s">
        <v>253</v>
      </c>
      <c r="M471" s="569" t="s">
        <v>177</v>
      </c>
      <c r="N471" s="52" t="str">
        <f>IF(AND('331-CT'!$E$7=TH!H471,OR(L471="331",M471="331")),"331",IF(AND(OR(L471="131",M471="131"),H471='131-CT'!$E$7),"131",""))</f>
        <v/>
      </c>
      <c r="O471" s="89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15"/>
      <c r="AC471" s="211" t="str">
        <f>IF(F471=VLOOKUP(F471,NXT!$C$12:$C$345,1,0),"","x")</f>
        <v/>
      </c>
    </row>
    <row r="472" spans="1:31" s="211" customFormat="1" ht="15.75" customHeight="1">
      <c r="A472" s="204" t="str">
        <f>IF(B472&lt;&gt;"",IF(AND(B472&gt;=_TM1,B472&lt;=_TM2,OR(TH!L472="1111",TH!M472="1111")),TH!D472,""),"")</f>
        <v/>
      </c>
      <c r="B472" s="36">
        <f t="shared" si="33"/>
        <v>10</v>
      </c>
      <c r="C472" s="184">
        <f t="shared" si="34"/>
        <v>41922</v>
      </c>
      <c r="D472" s="184" t="s">
        <v>914</v>
      </c>
      <c r="E472" s="191">
        <v>41922</v>
      </c>
      <c r="F472" s="192" t="s">
        <v>421</v>
      </c>
      <c r="G472" s="468" t="s">
        <v>731</v>
      </c>
      <c r="H472" s="7" t="s">
        <v>910</v>
      </c>
      <c r="I472" s="256"/>
      <c r="J472" s="256"/>
      <c r="K472" s="568">
        <v>2395200</v>
      </c>
      <c r="L472" s="569" t="s">
        <v>253</v>
      </c>
      <c r="M472" s="569" t="s">
        <v>365</v>
      </c>
      <c r="N472" s="52" t="str">
        <f>IF(AND('331-CT'!$E$7=TH!H472,OR(L472="331",M472="331")),"331",IF(AND(OR(L472="131",M472="131"),H472='131-CT'!$E$7),"131",""))</f>
        <v/>
      </c>
      <c r="O472" s="89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15"/>
      <c r="AC472" s="560" t="str">
        <f>IF(VLOOKUP(H472,DS_131,1,0)&lt;&gt;"","","x")</f>
        <v/>
      </c>
    </row>
    <row r="473" spans="1:31" s="560" customFormat="1" ht="15.75" customHeight="1">
      <c r="A473" s="204" t="str">
        <f>IF(B473&lt;&gt;"",IF(AND(B473&gt;=_TM1,B473&lt;=_TM2,OR(TH!L473="1111",TH!M473="1111")),TH!D473,""),"")</f>
        <v/>
      </c>
      <c r="B473" s="36">
        <f t="shared" si="33"/>
        <v>10</v>
      </c>
      <c r="C473" s="184">
        <f t="shared" si="34"/>
        <v>41922</v>
      </c>
      <c r="D473" s="184" t="s">
        <v>915</v>
      </c>
      <c r="E473" s="191">
        <v>41922</v>
      </c>
      <c r="F473" s="192" t="s">
        <v>732</v>
      </c>
      <c r="G473" s="468" t="s">
        <v>733</v>
      </c>
      <c r="H473" s="7" t="s">
        <v>734</v>
      </c>
      <c r="I473" s="256">
        <v>600</v>
      </c>
      <c r="J473" s="256">
        <v>11300</v>
      </c>
      <c r="K473" s="568">
        <f>ROUND(I473*J473,0)</f>
        <v>6780000</v>
      </c>
      <c r="L473" s="569" t="s">
        <v>253</v>
      </c>
      <c r="M473" s="569" t="s">
        <v>177</v>
      </c>
      <c r="N473" s="52" t="str">
        <f>IF(AND('331-CT'!$E$7=TH!H473,OR(L473="331",M473="331")),"331",IF(AND(OR(L473="131",M473="131"),H473='131-CT'!$E$7),"131",""))</f>
        <v/>
      </c>
      <c r="O473" s="89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15"/>
      <c r="AC473" s="211" t="str">
        <f>IF(F473=VLOOKUP(F473,NXT!$C$12:$C$345,1,0),"","x")</f>
        <v/>
      </c>
      <c r="AD473" s="211"/>
      <c r="AE473" s="211"/>
    </row>
    <row r="474" spans="1:31" s="560" customFormat="1" ht="15.75" customHeight="1">
      <c r="A474" s="204" t="str">
        <f>IF(B474&lt;&gt;"",IF(AND(B474&gt;=_TM1,B474&lt;=_TM2,OR(TH!L474="1111",TH!M474="1111")),TH!D474,""),"")</f>
        <v/>
      </c>
      <c r="B474" s="36">
        <f t="shared" si="33"/>
        <v>10</v>
      </c>
      <c r="C474" s="184">
        <f t="shared" si="34"/>
        <v>41922</v>
      </c>
      <c r="D474" s="184" t="s">
        <v>915</v>
      </c>
      <c r="E474" s="191">
        <v>41922</v>
      </c>
      <c r="F474" s="192" t="s">
        <v>421</v>
      </c>
      <c r="G474" s="468" t="s">
        <v>733</v>
      </c>
      <c r="H474" s="7" t="s">
        <v>734</v>
      </c>
      <c r="I474" s="256"/>
      <c r="J474" s="256"/>
      <c r="K474" s="568">
        <v>678000</v>
      </c>
      <c r="L474" s="569" t="s">
        <v>253</v>
      </c>
      <c r="M474" s="569" t="s">
        <v>365</v>
      </c>
      <c r="N474" s="52" t="str">
        <f>IF(AND('331-CT'!$E$7=TH!H474,OR(L474="331",M474="331")),"331",IF(AND(OR(L474="131",M474="131"),H474='131-CT'!$E$7),"131",""))</f>
        <v/>
      </c>
      <c r="O474" s="89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15"/>
      <c r="AC474" s="560" t="str">
        <f>IF(VLOOKUP(H474,DS_131,1,0)&lt;&gt;"","","x")</f>
        <v/>
      </c>
      <c r="AD474" s="211"/>
      <c r="AE474" s="211"/>
    </row>
    <row r="475" spans="1:31" s="560" customFormat="1" ht="15.75" customHeight="1">
      <c r="A475" s="204" t="str">
        <f>IF(B475&lt;&gt;"",IF(AND(B475&gt;=_TM1,B475&lt;=_TM2,OR(TH!L475="1111",TH!M475="1111")),TH!D475,""),"")</f>
        <v/>
      </c>
      <c r="B475" s="36">
        <f t="shared" si="33"/>
        <v>10</v>
      </c>
      <c r="C475" s="184">
        <f t="shared" si="34"/>
        <v>41922</v>
      </c>
      <c r="D475" s="184" t="s">
        <v>916</v>
      </c>
      <c r="E475" s="191">
        <v>41922</v>
      </c>
      <c r="F475" s="192" t="s">
        <v>663</v>
      </c>
      <c r="G475" s="468" t="s">
        <v>735</v>
      </c>
      <c r="H475" s="7" t="s">
        <v>603</v>
      </c>
      <c r="I475" s="256">
        <v>1932</v>
      </c>
      <c r="J475" s="256">
        <v>10050</v>
      </c>
      <c r="K475" s="568">
        <f t="shared" ref="K475:K482" si="36">ROUND(I475*J475,0)</f>
        <v>19416600</v>
      </c>
      <c r="L475" s="569" t="s">
        <v>253</v>
      </c>
      <c r="M475" s="569" t="s">
        <v>177</v>
      </c>
      <c r="N475" s="52" t="str">
        <f>IF(AND('331-CT'!$E$7=TH!H475,OR(L475="331",M475="331")),"331",IF(AND(OR(L475="131",M475="131"),H475='131-CT'!$E$7),"131",""))</f>
        <v/>
      </c>
      <c r="O475" s="89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15"/>
      <c r="AC475" s="211" t="str">
        <f>IF(F475=VLOOKUP(F475,NXT!$C$12:$C$345,1,0),"","x")</f>
        <v/>
      </c>
      <c r="AD475" s="211"/>
      <c r="AE475" s="211"/>
    </row>
    <row r="476" spans="1:31" s="560" customFormat="1" ht="15.75" customHeight="1">
      <c r="A476" s="204" t="str">
        <f>IF(B476&lt;&gt;"",IF(AND(B476&gt;=_TM1,B476&lt;=_TM2,OR(TH!L476="1111",TH!M476="1111")),TH!D476,""),"")</f>
        <v/>
      </c>
      <c r="B476" s="36">
        <f t="shared" si="33"/>
        <v>10</v>
      </c>
      <c r="C476" s="184">
        <f t="shared" si="34"/>
        <v>41922</v>
      </c>
      <c r="D476" s="184" t="s">
        <v>916</v>
      </c>
      <c r="E476" s="191">
        <v>41922</v>
      </c>
      <c r="F476" s="192" t="s">
        <v>663</v>
      </c>
      <c r="G476" s="468" t="s">
        <v>735</v>
      </c>
      <c r="H476" s="7" t="s">
        <v>603</v>
      </c>
      <c r="I476" s="256">
        <v>593</v>
      </c>
      <c r="J476" s="256">
        <v>10050</v>
      </c>
      <c r="K476" s="568">
        <f t="shared" si="36"/>
        <v>5959650</v>
      </c>
      <c r="L476" s="569" t="s">
        <v>253</v>
      </c>
      <c r="M476" s="569" t="s">
        <v>177</v>
      </c>
      <c r="N476" s="52" t="str">
        <f>IF(AND('331-CT'!$E$7=TH!H476,OR(L476="331",M476="331")),"331",IF(AND(OR(L476="131",M476="131"),H476='131-CT'!$E$7),"131",""))</f>
        <v/>
      </c>
      <c r="O476" s="89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15"/>
      <c r="AC476" s="211" t="str">
        <f>IF(F476=VLOOKUP(F476,NXT!$C$12:$C$345,1,0),"","x")</f>
        <v/>
      </c>
      <c r="AD476" s="211"/>
      <c r="AE476" s="211"/>
    </row>
    <row r="477" spans="1:31" s="560" customFormat="1" ht="15.75" customHeight="1">
      <c r="A477" s="204" t="str">
        <f>IF(B477&lt;&gt;"",IF(AND(B477&gt;=_TM1,B477&lt;=_TM2,OR(TH!L477="1111",TH!M477="1111")),TH!D477,""),"")</f>
        <v/>
      </c>
      <c r="B477" s="36">
        <f t="shared" si="33"/>
        <v>10</v>
      </c>
      <c r="C477" s="184">
        <f t="shared" si="34"/>
        <v>41922</v>
      </c>
      <c r="D477" s="184" t="s">
        <v>916</v>
      </c>
      <c r="E477" s="191">
        <v>41922</v>
      </c>
      <c r="F477" s="192" t="s">
        <v>736</v>
      </c>
      <c r="G477" s="468" t="s">
        <v>735</v>
      </c>
      <c r="H477" s="7" t="s">
        <v>603</v>
      </c>
      <c r="I477" s="256">
        <v>314</v>
      </c>
      <c r="J477" s="256">
        <v>9450</v>
      </c>
      <c r="K477" s="568">
        <f t="shared" si="36"/>
        <v>2967300</v>
      </c>
      <c r="L477" s="569" t="s">
        <v>253</v>
      </c>
      <c r="M477" s="569" t="s">
        <v>177</v>
      </c>
      <c r="N477" s="52" t="str">
        <f>IF(AND('331-CT'!$E$7=TH!H477,OR(L477="331",M477="331")),"331",IF(AND(OR(L477="131",M477="131"),H477='131-CT'!$E$7),"131",""))</f>
        <v/>
      </c>
      <c r="O477" s="89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15"/>
      <c r="AC477" s="211" t="str">
        <f>IF(F477=VLOOKUP(F477,NXT!$C$12:$C$345,1,0),"","x")</f>
        <v/>
      </c>
      <c r="AD477" s="211"/>
      <c r="AE477" s="211"/>
    </row>
    <row r="478" spans="1:31" s="211" customFormat="1" ht="15.75" customHeight="1">
      <c r="A478" s="204" t="str">
        <f>IF(B478&lt;&gt;"",IF(AND(B478&gt;=_TM1,B478&lt;=_TM2,OR(TH!L478="1111",TH!M478="1111")),TH!D478,""),"")</f>
        <v/>
      </c>
      <c r="B478" s="36">
        <f t="shared" si="33"/>
        <v>10</v>
      </c>
      <c r="C478" s="184">
        <f t="shared" si="34"/>
        <v>41922</v>
      </c>
      <c r="D478" s="184" t="s">
        <v>916</v>
      </c>
      <c r="E478" s="191">
        <v>41922</v>
      </c>
      <c r="F478" s="192" t="s">
        <v>663</v>
      </c>
      <c r="G478" s="468" t="s">
        <v>735</v>
      </c>
      <c r="H478" s="7" t="s">
        <v>603</v>
      </c>
      <c r="I478" s="256">
        <v>173</v>
      </c>
      <c r="J478" s="256">
        <v>10050</v>
      </c>
      <c r="K478" s="568">
        <f t="shared" si="36"/>
        <v>1738650</v>
      </c>
      <c r="L478" s="569" t="s">
        <v>253</v>
      </c>
      <c r="M478" s="569" t="s">
        <v>177</v>
      </c>
      <c r="N478" s="52" t="str">
        <f>IF(AND('331-CT'!$E$7=TH!H478,OR(L478="331",M478="331")),"331",IF(AND(OR(L478="131",M478="131"),H478='131-CT'!$E$7),"131",""))</f>
        <v/>
      </c>
      <c r="O478" s="89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15"/>
      <c r="AC478" s="211" t="str">
        <f>IF(F478=VLOOKUP(F478,NXT!$C$12:$C$345,1,0),"","x")</f>
        <v/>
      </c>
    </row>
    <row r="479" spans="1:31" s="211" customFormat="1" ht="15.75" customHeight="1">
      <c r="A479" s="204" t="str">
        <f>IF(B479&lt;&gt;"",IF(AND(B479&gt;=_TM1,B479&lt;=_TM2,OR(TH!L479="1111",TH!M479="1111")),TH!D479,""),"")</f>
        <v/>
      </c>
      <c r="B479" s="36">
        <f t="shared" si="33"/>
        <v>10</v>
      </c>
      <c r="C479" s="184">
        <f t="shared" si="34"/>
        <v>41922</v>
      </c>
      <c r="D479" s="184" t="s">
        <v>916</v>
      </c>
      <c r="E479" s="191">
        <v>41922</v>
      </c>
      <c r="F479" s="192" t="s">
        <v>663</v>
      </c>
      <c r="G479" s="468" t="s">
        <v>735</v>
      </c>
      <c r="H479" s="7" t="s">
        <v>603</v>
      </c>
      <c r="I479" s="256">
        <v>287</v>
      </c>
      <c r="J479" s="256">
        <v>10050</v>
      </c>
      <c r="K479" s="568">
        <f t="shared" si="36"/>
        <v>2884350</v>
      </c>
      <c r="L479" s="569" t="s">
        <v>253</v>
      </c>
      <c r="M479" s="569" t="s">
        <v>177</v>
      </c>
      <c r="N479" s="52" t="str">
        <f>IF(AND('331-CT'!$E$7=TH!H479,OR(L479="331",M479="331")),"331",IF(AND(OR(L479="131",M479="131"),H479='131-CT'!$E$7),"131",""))</f>
        <v/>
      </c>
      <c r="O479" s="89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15"/>
      <c r="AC479" s="211" t="str">
        <f>IF(F479=VLOOKUP(F479,NXT!$C$12:$C$345,1,0),"","x")</f>
        <v/>
      </c>
    </row>
    <row r="480" spans="1:31" s="211" customFormat="1" ht="15.75" customHeight="1">
      <c r="A480" s="204" t="str">
        <f>IF(B480&lt;&gt;"",IF(AND(B480&gt;=_TM1,B480&lt;=_TM2,OR(TH!L480="1111",TH!M480="1111")),TH!D480,""),"")</f>
        <v/>
      </c>
      <c r="B480" s="36">
        <f t="shared" si="33"/>
        <v>10</v>
      </c>
      <c r="C480" s="184">
        <f t="shared" si="34"/>
        <v>41922</v>
      </c>
      <c r="D480" s="184" t="s">
        <v>916</v>
      </c>
      <c r="E480" s="191">
        <v>41922</v>
      </c>
      <c r="F480" s="192" t="s">
        <v>736</v>
      </c>
      <c r="G480" s="468" t="s">
        <v>735</v>
      </c>
      <c r="H480" s="7" t="s">
        <v>603</v>
      </c>
      <c r="I480" s="256">
        <v>454</v>
      </c>
      <c r="J480" s="256">
        <v>9450</v>
      </c>
      <c r="K480" s="568">
        <f t="shared" si="36"/>
        <v>4290300</v>
      </c>
      <c r="L480" s="569" t="s">
        <v>253</v>
      </c>
      <c r="M480" s="569" t="s">
        <v>177</v>
      </c>
      <c r="N480" s="52" t="str">
        <f>IF(AND('331-CT'!$E$7=TH!H480,OR(L480="331",M480="331")),"331",IF(AND(OR(L480="131",M480="131"),H480='131-CT'!$E$7),"131",""))</f>
        <v/>
      </c>
      <c r="O480" s="89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15"/>
      <c r="AC480" s="211" t="str">
        <f>IF(F480=VLOOKUP(F480,NXT!$C$12:$C$345,1,0),"","x")</f>
        <v/>
      </c>
    </row>
    <row r="481" spans="1:31" s="211" customFormat="1" ht="15.75" customHeight="1">
      <c r="A481" s="204" t="str">
        <f>IF(B481&lt;&gt;"",IF(AND(B481&gt;=_TM1,B481&lt;=_TM2,OR(TH!L481="1111",TH!M481="1111")),TH!D481,""),"")</f>
        <v/>
      </c>
      <c r="B481" s="36">
        <f t="shared" si="33"/>
        <v>10</v>
      </c>
      <c r="C481" s="184">
        <f t="shared" si="34"/>
        <v>41922</v>
      </c>
      <c r="D481" s="184" t="s">
        <v>916</v>
      </c>
      <c r="E481" s="191">
        <v>41922</v>
      </c>
      <c r="F481" s="192" t="s">
        <v>736</v>
      </c>
      <c r="G481" s="468" t="s">
        <v>735</v>
      </c>
      <c r="H481" s="7" t="s">
        <v>603</v>
      </c>
      <c r="I481" s="256">
        <v>160</v>
      </c>
      <c r="J481" s="256">
        <v>9450</v>
      </c>
      <c r="K481" s="568">
        <f t="shared" si="36"/>
        <v>1512000</v>
      </c>
      <c r="L481" s="569" t="s">
        <v>253</v>
      </c>
      <c r="M481" s="569" t="s">
        <v>177</v>
      </c>
      <c r="N481" s="52" t="str">
        <f>IF(AND('331-CT'!$E$7=TH!H481,OR(L481="331",M481="331")),"331",IF(AND(OR(L481="131",M481="131"),H481='131-CT'!$E$7),"131",""))</f>
        <v/>
      </c>
      <c r="O481" s="89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15"/>
      <c r="AC481" s="211" t="str">
        <f>IF(F481=VLOOKUP(F481,NXT!$C$12:$C$345,1,0),"","x")</f>
        <v/>
      </c>
    </row>
    <row r="482" spans="1:31" s="560" customFormat="1" ht="15.75" customHeight="1">
      <c r="A482" s="204" t="str">
        <f>IF(B482&lt;&gt;"",IF(AND(B482&gt;=_TM1,B482&lt;=_TM2,OR(TH!L482="1111",TH!M482="1111")),TH!D482,""),"")</f>
        <v/>
      </c>
      <c r="B482" s="36">
        <f t="shared" si="33"/>
        <v>10</v>
      </c>
      <c r="C482" s="184">
        <f t="shared" si="34"/>
        <v>41922</v>
      </c>
      <c r="D482" s="184" t="s">
        <v>916</v>
      </c>
      <c r="E482" s="191">
        <v>41922</v>
      </c>
      <c r="F482" s="192" t="s">
        <v>624</v>
      </c>
      <c r="G482" s="468" t="s">
        <v>735</v>
      </c>
      <c r="H482" s="7" t="s">
        <v>603</v>
      </c>
      <c r="I482" s="256">
        <v>4800</v>
      </c>
      <c r="J482" s="256">
        <v>400</v>
      </c>
      <c r="K482" s="568">
        <f t="shared" si="36"/>
        <v>1920000</v>
      </c>
      <c r="L482" s="569" t="s">
        <v>253</v>
      </c>
      <c r="M482" s="569" t="s">
        <v>177</v>
      </c>
      <c r="N482" s="52" t="str">
        <f>IF(AND('331-CT'!$E$7=TH!H482,OR(L482="331",M482="331")),"331",IF(AND(OR(L482="131",M482="131"),H482='131-CT'!$E$7),"131",""))</f>
        <v/>
      </c>
      <c r="O482" s="89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15"/>
      <c r="AC482" s="211" t="str">
        <f>IF(F482=VLOOKUP(F482,NXT!$C$12:$C$345,1,0),"","x")</f>
        <v/>
      </c>
      <c r="AD482" s="211"/>
      <c r="AE482" s="211"/>
    </row>
    <row r="483" spans="1:31" s="560" customFormat="1" ht="15.75" customHeight="1">
      <c r="A483" s="204" t="str">
        <f>IF(B483&lt;&gt;"",IF(AND(B483&gt;=_TM1,B483&lt;=_TM2,OR(TH!L483="1111",TH!M483="1111")),TH!D483,""),"")</f>
        <v/>
      </c>
      <c r="B483" s="36">
        <f t="shared" si="33"/>
        <v>10</v>
      </c>
      <c r="C483" s="184">
        <f t="shared" si="34"/>
        <v>41922</v>
      </c>
      <c r="D483" s="184" t="s">
        <v>916</v>
      </c>
      <c r="E483" s="191">
        <v>41922</v>
      </c>
      <c r="F483" s="192" t="s">
        <v>421</v>
      </c>
      <c r="G483" s="468" t="s">
        <v>735</v>
      </c>
      <c r="H483" s="7" t="s">
        <v>603</v>
      </c>
      <c r="I483" s="256"/>
      <c r="J483" s="256"/>
      <c r="K483" s="568">
        <v>4068885</v>
      </c>
      <c r="L483" s="569" t="s">
        <v>253</v>
      </c>
      <c r="M483" s="569" t="s">
        <v>365</v>
      </c>
      <c r="N483" s="52" t="str">
        <f>IF(AND('331-CT'!$E$7=TH!H483,OR(L483="331",M483="331")),"331",IF(AND(OR(L483="131",M483="131"),H483='131-CT'!$E$7),"131",""))</f>
        <v/>
      </c>
      <c r="O483" s="89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15"/>
      <c r="AC483" s="560" t="str">
        <f>IF(VLOOKUP(H483,DS_131,1,0)&lt;&gt;"","","x")</f>
        <v/>
      </c>
      <c r="AD483" s="211"/>
      <c r="AE483" s="211"/>
    </row>
    <row r="484" spans="1:31" s="560" customFormat="1" ht="15.75" customHeight="1">
      <c r="A484" s="204" t="str">
        <f>IF(B484&lt;&gt;"",IF(AND(B484&gt;=_TM1,B484&lt;=_TM2,OR(TH!L484="1111",TH!M484="1111")),TH!D484,""),"")</f>
        <v/>
      </c>
      <c r="B484" s="36">
        <f t="shared" si="33"/>
        <v>10</v>
      </c>
      <c r="C484" s="184">
        <f t="shared" si="34"/>
        <v>41926</v>
      </c>
      <c r="D484" s="184" t="s">
        <v>917</v>
      </c>
      <c r="E484" s="191">
        <v>41926</v>
      </c>
      <c r="F484" s="192" t="s">
        <v>707</v>
      </c>
      <c r="G484" s="468" t="s">
        <v>737</v>
      </c>
      <c r="H484" s="7" t="s">
        <v>583</v>
      </c>
      <c r="I484" s="256">
        <v>1635</v>
      </c>
      <c r="J484" s="256">
        <v>7000</v>
      </c>
      <c r="K484" s="568">
        <f>ROUND(I484*J484,0)</f>
        <v>11445000</v>
      </c>
      <c r="L484" s="569" t="s">
        <v>253</v>
      </c>
      <c r="M484" s="569" t="s">
        <v>177</v>
      </c>
      <c r="N484" s="52" t="str">
        <f>IF(AND('331-CT'!$E$7=TH!H484,OR(L484="331",M484="331")),"331",IF(AND(OR(L484="131",M484="131"),H484='131-CT'!$E$7),"131",""))</f>
        <v/>
      </c>
      <c r="O484" s="89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15"/>
      <c r="AC484" s="211" t="str">
        <f>IF(F484=VLOOKUP(F484,NXT!$C$12:$C$345,1,0),"","x")</f>
        <v/>
      </c>
      <c r="AD484" s="211"/>
      <c r="AE484" s="211"/>
    </row>
    <row r="485" spans="1:31" s="560" customFormat="1" ht="15.75" customHeight="1">
      <c r="A485" s="204" t="str">
        <f>IF(B485&lt;&gt;"",IF(AND(B485&gt;=_TM1,B485&lt;=_TM2,OR(TH!L485="1111",TH!M485="1111")),TH!D485,""),"")</f>
        <v/>
      </c>
      <c r="B485" s="36">
        <f t="shared" si="33"/>
        <v>10</v>
      </c>
      <c r="C485" s="184">
        <f t="shared" si="34"/>
        <v>41926</v>
      </c>
      <c r="D485" s="184" t="s">
        <v>917</v>
      </c>
      <c r="E485" s="191">
        <v>41926</v>
      </c>
      <c r="F485" s="192" t="s">
        <v>421</v>
      </c>
      <c r="G485" s="468" t="s">
        <v>737</v>
      </c>
      <c r="H485" s="7" t="s">
        <v>583</v>
      </c>
      <c r="I485" s="256"/>
      <c r="J485" s="256"/>
      <c r="K485" s="568">
        <v>1144500</v>
      </c>
      <c r="L485" s="569" t="s">
        <v>253</v>
      </c>
      <c r="M485" s="569" t="s">
        <v>365</v>
      </c>
      <c r="N485" s="52" t="str">
        <f>IF(AND('331-CT'!$E$7=TH!H485,OR(L485="331",M485="331")),"331",IF(AND(OR(L485="131",M485="131"),H485='131-CT'!$E$7),"131",""))</f>
        <v/>
      </c>
      <c r="O485" s="89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15"/>
      <c r="AC485" s="560" t="str">
        <f>IF(VLOOKUP(H485,DS_131,1,0)&lt;&gt;"","","x")</f>
        <v/>
      </c>
      <c r="AD485" s="211"/>
      <c r="AE485" s="211"/>
    </row>
    <row r="486" spans="1:31" s="560" customFormat="1" ht="15.75" customHeight="1">
      <c r="A486" s="204" t="str">
        <f>IF(B486&lt;&gt;"",IF(AND(B486&gt;=_TM1,B486&lt;=_TM2,OR(TH!L486="1111",TH!M486="1111")),TH!D486,""),"")</f>
        <v/>
      </c>
      <c r="B486" s="36">
        <f t="shared" si="33"/>
        <v>10</v>
      </c>
      <c r="C486" s="184">
        <f t="shared" si="34"/>
        <v>41926</v>
      </c>
      <c r="D486" s="184" t="s">
        <v>918</v>
      </c>
      <c r="E486" s="191">
        <v>41926</v>
      </c>
      <c r="F486" s="192" t="s">
        <v>495</v>
      </c>
      <c r="G486" s="468" t="s">
        <v>738</v>
      </c>
      <c r="H486" s="7" t="s">
        <v>909</v>
      </c>
      <c r="I486" s="256">
        <v>197</v>
      </c>
      <c r="J486" s="256">
        <v>8600</v>
      </c>
      <c r="K486" s="568">
        <f>ROUND(I486*J486,0)</f>
        <v>1694200</v>
      </c>
      <c r="L486" s="569" t="s">
        <v>253</v>
      </c>
      <c r="M486" s="569" t="s">
        <v>177</v>
      </c>
      <c r="N486" s="52" t="str">
        <f>IF(AND('331-CT'!$E$7=TH!H486,OR(L486="331",M486="331")),"331",IF(AND(OR(L486="131",M486="131"),H486='131-CT'!$E$7),"131",""))</f>
        <v/>
      </c>
      <c r="O486" s="89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15"/>
      <c r="AC486" s="211" t="str">
        <f>IF(F486=VLOOKUP(F486,NXT!$C$12:$C$345,1,0),"","x")</f>
        <v/>
      </c>
      <c r="AD486" s="211"/>
      <c r="AE486" s="211"/>
    </row>
    <row r="487" spans="1:31" s="560" customFormat="1" ht="15.75" customHeight="1">
      <c r="A487" s="204" t="str">
        <f>IF(B487&lt;&gt;"",IF(AND(B487&gt;=_TM1,B487&lt;=_TM2,OR(TH!L487="1111",TH!M487="1111")),TH!D487,""),"")</f>
        <v/>
      </c>
      <c r="B487" s="36">
        <f t="shared" si="33"/>
        <v>10</v>
      </c>
      <c r="C487" s="184">
        <f t="shared" si="34"/>
        <v>41926</v>
      </c>
      <c r="D487" s="184" t="s">
        <v>918</v>
      </c>
      <c r="E487" s="191">
        <v>41926</v>
      </c>
      <c r="F487" s="192" t="s">
        <v>513</v>
      </c>
      <c r="G487" s="468" t="s">
        <v>738</v>
      </c>
      <c r="H487" s="7" t="s">
        <v>909</v>
      </c>
      <c r="I487" s="256">
        <v>300</v>
      </c>
      <c r="J487" s="256">
        <v>7000</v>
      </c>
      <c r="K487" s="568">
        <f>ROUND(I487*J487,0)</f>
        <v>2100000</v>
      </c>
      <c r="L487" s="569" t="s">
        <v>253</v>
      </c>
      <c r="M487" s="569" t="s">
        <v>177</v>
      </c>
      <c r="N487" s="52" t="str">
        <f>IF(AND('331-CT'!$E$7=TH!H487,OR(L487="331",M487="331")),"331",IF(AND(OR(L487="131",M487="131"),H487='131-CT'!$E$7),"131",""))</f>
        <v/>
      </c>
      <c r="O487" s="89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15"/>
      <c r="AC487" s="211" t="str">
        <f>IF(F487=VLOOKUP(F487,NXT!$C$12:$C$345,1,0),"","x")</f>
        <v/>
      </c>
      <c r="AD487" s="211"/>
      <c r="AE487" s="211"/>
    </row>
    <row r="488" spans="1:31" s="560" customFormat="1" ht="15.75" customHeight="1">
      <c r="A488" s="204" t="str">
        <f>IF(B488&lt;&gt;"",IF(AND(B488&gt;=_TM1,B488&lt;=_TM2,OR(TH!L488="1111",TH!M488="1111")),TH!D488,""),"")</f>
        <v/>
      </c>
      <c r="B488" s="36">
        <f t="shared" si="33"/>
        <v>10</v>
      </c>
      <c r="C488" s="184">
        <f t="shared" si="34"/>
        <v>41926</v>
      </c>
      <c r="D488" s="184" t="s">
        <v>918</v>
      </c>
      <c r="E488" s="191">
        <v>41926</v>
      </c>
      <c r="F488" s="192" t="s">
        <v>739</v>
      </c>
      <c r="G488" s="468" t="s">
        <v>738</v>
      </c>
      <c r="H488" s="7" t="s">
        <v>909</v>
      </c>
      <c r="I488" s="256">
        <v>42</v>
      </c>
      <c r="J488" s="256">
        <v>7400</v>
      </c>
      <c r="K488" s="568">
        <f>ROUND(I488*J488,0)</f>
        <v>310800</v>
      </c>
      <c r="L488" s="569" t="s">
        <v>253</v>
      </c>
      <c r="M488" s="569" t="s">
        <v>177</v>
      </c>
      <c r="N488" s="52" t="str">
        <f>IF(AND('331-CT'!$E$7=TH!H488,OR(L488="331",M488="331")),"331",IF(AND(OR(L488="131",M488="131"),H488='131-CT'!$E$7),"131",""))</f>
        <v/>
      </c>
      <c r="O488" s="89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15"/>
      <c r="AC488" s="211" t="str">
        <f>IF(F488=VLOOKUP(F488,NXT!$C$12:$C$345,1,0),"","x")</f>
        <v/>
      </c>
      <c r="AD488" s="211"/>
      <c r="AE488" s="211"/>
    </row>
    <row r="489" spans="1:31" s="560" customFormat="1" ht="15.75" customHeight="1">
      <c r="A489" s="204" t="str">
        <f>IF(B489&lt;&gt;"",IF(AND(B489&gt;=_TM1,B489&lt;=_TM2,OR(TH!L489="1111",TH!M489="1111")),TH!D489,""),"")</f>
        <v/>
      </c>
      <c r="B489" s="36">
        <f t="shared" si="33"/>
        <v>10</v>
      </c>
      <c r="C489" s="184">
        <f t="shared" si="34"/>
        <v>41926</v>
      </c>
      <c r="D489" s="184" t="s">
        <v>918</v>
      </c>
      <c r="E489" s="191">
        <v>41926</v>
      </c>
      <c r="F489" s="192" t="s">
        <v>487</v>
      </c>
      <c r="G489" s="468" t="s">
        <v>738</v>
      </c>
      <c r="H489" s="7" t="s">
        <v>909</v>
      </c>
      <c r="I489" s="256">
        <v>297</v>
      </c>
      <c r="J489" s="256">
        <v>9300</v>
      </c>
      <c r="K489" s="568">
        <f>ROUND(I489*J489,0)</f>
        <v>2762100</v>
      </c>
      <c r="L489" s="569" t="s">
        <v>253</v>
      </c>
      <c r="M489" s="569" t="s">
        <v>177</v>
      </c>
      <c r="N489" s="52" t="str">
        <f>IF(AND('331-CT'!$E$7=TH!H489,OR(L489="331",M489="331")),"331",IF(AND(OR(L489="131",M489="131"),H489='131-CT'!$E$7),"131",""))</f>
        <v/>
      </c>
      <c r="O489" s="89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15"/>
      <c r="AC489" s="211" t="str">
        <f>IF(F489=VLOOKUP(F489,NXT!$C$12:$C$345,1,0),"","x")</f>
        <v/>
      </c>
      <c r="AD489" s="211"/>
      <c r="AE489" s="211"/>
    </row>
    <row r="490" spans="1:31" s="560" customFormat="1" ht="15.75" customHeight="1">
      <c r="A490" s="204" t="str">
        <f>IF(B490&lt;&gt;"",IF(AND(B490&gt;=_TM1,B490&lt;=_TM2,OR(TH!L490="1111",TH!M490="1111")),TH!D490,""),"")</f>
        <v/>
      </c>
      <c r="B490" s="36">
        <f t="shared" si="33"/>
        <v>10</v>
      </c>
      <c r="C490" s="184">
        <f t="shared" si="34"/>
        <v>41926</v>
      </c>
      <c r="D490" s="184" t="s">
        <v>918</v>
      </c>
      <c r="E490" s="191">
        <v>41926</v>
      </c>
      <c r="F490" s="192" t="s">
        <v>421</v>
      </c>
      <c r="G490" s="468" t="s">
        <v>738</v>
      </c>
      <c r="H490" s="7" t="s">
        <v>909</v>
      </c>
      <c r="I490" s="256"/>
      <c r="J490" s="256"/>
      <c r="K490" s="568">
        <v>686710</v>
      </c>
      <c r="L490" s="569" t="s">
        <v>253</v>
      </c>
      <c r="M490" s="569" t="s">
        <v>365</v>
      </c>
      <c r="N490" s="52" t="str">
        <f>IF(AND('331-CT'!$E$7=TH!H490,OR(L490="331",M490="331")),"331",IF(AND(OR(L490="131",M490="131"),H490='131-CT'!$E$7),"131",""))</f>
        <v/>
      </c>
      <c r="O490" s="89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15"/>
      <c r="AC490" s="560" t="str">
        <f>IF(VLOOKUP(H490,DS_131,1,0)&lt;&gt;"","","x")</f>
        <v/>
      </c>
      <c r="AD490" s="211"/>
      <c r="AE490" s="211"/>
    </row>
    <row r="491" spans="1:31" s="560" customFormat="1" ht="15.75" customHeight="1">
      <c r="A491" s="204" t="str">
        <f>IF(B491&lt;&gt;"",IF(AND(B491&gt;=_TM1,B491&lt;=_TM2,OR(TH!L491="1111",TH!M491="1111")),TH!D491,""),"")</f>
        <v/>
      </c>
      <c r="B491" s="36">
        <f t="shared" ref="B491:B554" si="37">IF(C491&lt;&gt;"",MONTH(C491),"")</f>
        <v>10</v>
      </c>
      <c r="C491" s="184">
        <f t="shared" ref="C491:C554" si="38">E491</f>
        <v>41926</v>
      </c>
      <c r="D491" s="184" t="s">
        <v>919</v>
      </c>
      <c r="E491" s="191">
        <v>41926</v>
      </c>
      <c r="F491" s="192" t="s">
        <v>740</v>
      </c>
      <c r="G491" s="468" t="s">
        <v>741</v>
      </c>
      <c r="H491" s="7" t="s">
        <v>603</v>
      </c>
      <c r="I491" s="256">
        <v>135</v>
      </c>
      <c r="J491" s="256">
        <v>13000</v>
      </c>
      <c r="K491" s="568">
        <f>ROUND(I491*J491,0)</f>
        <v>1755000</v>
      </c>
      <c r="L491" s="569" t="s">
        <v>253</v>
      </c>
      <c r="M491" s="569" t="s">
        <v>177</v>
      </c>
      <c r="N491" s="52" t="str">
        <f>IF(AND('331-CT'!$E$7=TH!H491,OR(L491="331",M491="331")),"331",IF(AND(OR(L491="131",M491="131"),H491='131-CT'!$E$7),"131",""))</f>
        <v/>
      </c>
      <c r="O491" s="89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15"/>
      <c r="AC491" s="211" t="str">
        <f>IF(F491=VLOOKUP(F491,NXT!$C$12:$C$345,1,0),"","x")</f>
        <v/>
      </c>
      <c r="AD491" s="211"/>
      <c r="AE491" s="211"/>
    </row>
    <row r="492" spans="1:31" s="560" customFormat="1" ht="15.75" customHeight="1">
      <c r="A492" s="204" t="str">
        <f>IF(B492&lt;&gt;"",IF(AND(B492&gt;=_TM1,B492&lt;=_TM2,OR(TH!L492="1111",TH!M492="1111")),TH!D492,""),"")</f>
        <v/>
      </c>
      <c r="B492" s="36">
        <f t="shared" si="37"/>
        <v>10</v>
      </c>
      <c r="C492" s="184">
        <f t="shared" si="38"/>
        <v>41926</v>
      </c>
      <c r="D492" s="184" t="s">
        <v>919</v>
      </c>
      <c r="E492" s="191">
        <v>41926</v>
      </c>
      <c r="F492" s="192" t="s">
        <v>740</v>
      </c>
      <c r="G492" s="468" t="s">
        <v>741</v>
      </c>
      <c r="H492" s="7" t="s">
        <v>603</v>
      </c>
      <c r="I492" s="256">
        <v>280</v>
      </c>
      <c r="J492" s="256">
        <v>13500</v>
      </c>
      <c r="K492" s="568">
        <f>ROUND(I492*J492,0)</f>
        <v>3780000</v>
      </c>
      <c r="L492" s="569" t="s">
        <v>253</v>
      </c>
      <c r="M492" s="569" t="s">
        <v>177</v>
      </c>
      <c r="N492" s="52" t="str">
        <f>IF(AND('331-CT'!$E$7=TH!H492,OR(L492="331",M492="331")),"331",IF(AND(OR(L492="131",M492="131"),H492='131-CT'!$E$7),"131",""))</f>
        <v/>
      </c>
      <c r="O492" s="89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15"/>
      <c r="AC492" s="211" t="str">
        <f>IF(F492=VLOOKUP(F492,NXT!$C$12:$C$345,1,0),"","x")</f>
        <v/>
      </c>
      <c r="AD492" s="211"/>
      <c r="AE492" s="211"/>
    </row>
    <row r="493" spans="1:31" s="560" customFormat="1" ht="15.75" customHeight="1">
      <c r="A493" s="204" t="str">
        <f>IF(B493&lt;&gt;"",IF(AND(B493&gt;=_TM1,B493&lt;=_TM2,OR(TH!L493="1111",TH!M493="1111")),TH!D493,""),"")</f>
        <v/>
      </c>
      <c r="B493" s="36">
        <f t="shared" si="37"/>
        <v>10</v>
      </c>
      <c r="C493" s="184">
        <f t="shared" si="38"/>
        <v>41926</v>
      </c>
      <c r="D493" s="184" t="s">
        <v>919</v>
      </c>
      <c r="E493" s="191">
        <v>41926</v>
      </c>
      <c r="F493" s="192" t="s">
        <v>421</v>
      </c>
      <c r="G493" s="468" t="s">
        <v>741</v>
      </c>
      <c r="H493" s="7" t="s">
        <v>603</v>
      </c>
      <c r="I493" s="256"/>
      <c r="J493" s="256"/>
      <c r="K493" s="568">
        <v>553500</v>
      </c>
      <c r="L493" s="569" t="s">
        <v>253</v>
      </c>
      <c r="M493" s="569" t="s">
        <v>365</v>
      </c>
      <c r="N493" s="52" t="str">
        <f>IF(AND('331-CT'!$E$7=TH!H493,OR(L493="331",M493="331")),"331",IF(AND(OR(L493="131",M493="131"),H493='131-CT'!$E$7),"131",""))</f>
        <v/>
      </c>
      <c r="O493" s="89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15"/>
      <c r="AC493" s="560" t="str">
        <f>IF(VLOOKUP(H493,DS_131,1,0)&lt;&gt;"","","x")</f>
        <v/>
      </c>
      <c r="AD493" s="211"/>
      <c r="AE493" s="211"/>
    </row>
    <row r="494" spans="1:31" s="560" customFormat="1" ht="15.75" customHeight="1">
      <c r="A494" s="204" t="str">
        <f>IF(B494&lt;&gt;"",IF(AND(B494&gt;=_TM1,B494&lt;=_TM2,OR(TH!L494="1111",TH!M494="1111")),TH!D494,""),"")</f>
        <v/>
      </c>
      <c r="B494" s="36">
        <f t="shared" si="37"/>
        <v>10</v>
      </c>
      <c r="C494" s="184">
        <f t="shared" si="38"/>
        <v>41928</v>
      </c>
      <c r="D494" s="184" t="s">
        <v>920</v>
      </c>
      <c r="E494" s="191">
        <v>41928</v>
      </c>
      <c r="F494" s="192" t="s">
        <v>742</v>
      </c>
      <c r="G494" s="468" t="s">
        <v>743</v>
      </c>
      <c r="H494" s="7" t="s">
        <v>420</v>
      </c>
      <c r="I494" s="256">
        <v>2960</v>
      </c>
      <c r="J494" s="256">
        <v>5800</v>
      </c>
      <c r="K494" s="568">
        <f>ROUND(I494*J494,0)</f>
        <v>17168000</v>
      </c>
      <c r="L494" s="569" t="s">
        <v>253</v>
      </c>
      <c r="M494" s="569" t="s">
        <v>177</v>
      </c>
      <c r="N494" s="52" t="str">
        <f>IF(AND('331-CT'!$E$7=TH!H494,OR(L494="331",M494="331")),"331",IF(AND(OR(L494="131",M494="131"),H494='131-CT'!$E$7),"131",""))</f>
        <v/>
      </c>
      <c r="O494" s="89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15"/>
      <c r="AC494" s="211" t="str">
        <f>IF(F494=VLOOKUP(F494,NXT!$C$12:$C$345,1,0),"","x")</f>
        <v/>
      </c>
      <c r="AD494" s="211"/>
      <c r="AE494" s="211"/>
    </row>
    <row r="495" spans="1:31" s="560" customFormat="1" ht="15.75" customHeight="1">
      <c r="A495" s="204" t="str">
        <f>IF(B495&lt;&gt;"",IF(AND(B495&gt;=_TM1,B495&lt;=_TM2,OR(TH!L495="1111",TH!M495="1111")),TH!D495,""),"")</f>
        <v/>
      </c>
      <c r="B495" s="36">
        <f t="shared" si="37"/>
        <v>10</v>
      </c>
      <c r="C495" s="184">
        <f t="shared" si="38"/>
        <v>41928</v>
      </c>
      <c r="D495" s="184" t="s">
        <v>920</v>
      </c>
      <c r="E495" s="191">
        <v>41928</v>
      </c>
      <c r="F495" s="192" t="s">
        <v>421</v>
      </c>
      <c r="G495" s="468" t="s">
        <v>743</v>
      </c>
      <c r="H495" s="7" t="s">
        <v>420</v>
      </c>
      <c r="I495" s="256"/>
      <c r="J495" s="256"/>
      <c r="K495" s="568">
        <v>1716800</v>
      </c>
      <c r="L495" s="569" t="s">
        <v>253</v>
      </c>
      <c r="M495" s="569" t="s">
        <v>365</v>
      </c>
      <c r="N495" s="52" t="str">
        <f>IF(AND('331-CT'!$E$7=TH!H495,OR(L495="331",M495="331")),"331",IF(AND(OR(L495="131",M495="131"),H495='131-CT'!$E$7),"131",""))</f>
        <v/>
      </c>
      <c r="O495" s="89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15"/>
      <c r="AC495" s="560" t="str">
        <f>IF(VLOOKUP(H495,DS_131,1,0)&lt;&gt;"","","x")</f>
        <v/>
      </c>
      <c r="AD495" s="211"/>
      <c r="AE495" s="211"/>
    </row>
    <row r="496" spans="1:31" s="560" customFormat="1" ht="15.75" customHeight="1">
      <c r="A496" s="204" t="str">
        <f>IF(B496&lt;&gt;"",IF(AND(B496&gt;=_TM1,B496&lt;=_TM2,OR(TH!L496="1111",TH!M496="1111")),TH!D496,""),"")</f>
        <v/>
      </c>
      <c r="B496" s="36">
        <f t="shared" si="37"/>
        <v>10</v>
      </c>
      <c r="C496" s="184">
        <f t="shared" si="38"/>
        <v>41929</v>
      </c>
      <c r="D496" s="184" t="s">
        <v>921</v>
      </c>
      <c r="E496" s="191">
        <v>41929</v>
      </c>
      <c r="F496" s="192" t="s">
        <v>613</v>
      </c>
      <c r="G496" s="468" t="s">
        <v>744</v>
      </c>
      <c r="H496" s="7" t="s">
        <v>420</v>
      </c>
      <c r="I496" s="256">
        <v>500</v>
      </c>
      <c r="J496" s="256">
        <v>4500</v>
      </c>
      <c r="K496" s="568">
        <f>ROUND(I496*J496,0)</f>
        <v>2250000</v>
      </c>
      <c r="L496" s="569" t="s">
        <v>253</v>
      </c>
      <c r="M496" s="569" t="s">
        <v>177</v>
      </c>
      <c r="N496" s="52" t="str">
        <f>IF(AND('331-CT'!$E$7=TH!H496,OR(L496="331",M496="331")),"331",IF(AND(OR(L496="131",M496="131"),H496='131-CT'!$E$7),"131",""))</f>
        <v/>
      </c>
      <c r="O496" s="89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15"/>
      <c r="AC496" s="211" t="str">
        <f>IF(F496=VLOOKUP(F496,NXT!$C$12:$C$345,1,0),"","x")</f>
        <v/>
      </c>
      <c r="AD496" s="211"/>
      <c r="AE496" s="211"/>
    </row>
    <row r="497" spans="1:31" s="560" customFormat="1" ht="15.75" customHeight="1">
      <c r="A497" s="204" t="str">
        <f>IF(B497&lt;&gt;"",IF(AND(B497&gt;=_TM1,B497&lt;=_TM2,OR(TH!L497="1111",TH!M497="1111")),TH!D497,""),"")</f>
        <v/>
      </c>
      <c r="B497" s="36">
        <f t="shared" si="37"/>
        <v>10</v>
      </c>
      <c r="C497" s="184">
        <f t="shared" si="38"/>
        <v>41929</v>
      </c>
      <c r="D497" s="184" t="s">
        <v>921</v>
      </c>
      <c r="E497" s="191">
        <v>41929</v>
      </c>
      <c r="F497" s="192" t="s">
        <v>421</v>
      </c>
      <c r="G497" s="468" t="s">
        <v>744</v>
      </c>
      <c r="H497" s="7" t="s">
        <v>420</v>
      </c>
      <c r="I497" s="256"/>
      <c r="J497" s="256"/>
      <c r="K497" s="568">
        <v>225000</v>
      </c>
      <c r="L497" s="569" t="s">
        <v>253</v>
      </c>
      <c r="M497" s="569" t="s">
        <v>365</v>
      </c>
      <c r="N497" s="52" t="str">
        <f>IF(AND('331-CT'!$E$7=TH!H497,OR(L497="331",M497="331")),"331",IF(AND(OR(L497="131",M497="131"),H497='131-CT'!$E$7),"131",""))</f>
        <v/>
      </c>
      <c r="O497" s="89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15"/>
      <c r="AC497" s="560" t="str">
        <f>IF(VLOOKUP(H497,DS_131,1,0)&lt;&gt;"","","x")</f>
        <v/>
      </c>
      <c r="AD497" s="211"/>
      <c r="AE497" s="211"/>
    </row>
    <row r="498" spans="1:31" s="560" customFormat="1" ht="15.75" customHeight="1">
      <c r="A498" s="204" t="str">
        <f>IF(B498&lt;&gt;"",IF(AND(B498&gt;=_TM1,B498&lt;=_TM2,OR(TH!L498="1111",TH!M498="1111")),TH!D498,""),"")</f>
        <v/>
      </c>
      <c r="B498" s="36">
        <f t="shared" si="37"/>
        <v>10</v>
      </c>
      <c r="C498" s="184">
        <f t="shared" si="38"/>
        <v>41934</v>
      </c>
      <c r="D498" s="184" t="s">
        <v>922</v>
      </c>
      <c r="E498" s="191">
        <v>41934</v>
      </c>
      <c r="F498" s="192" t="s">
        <v>745</v>
      </c>
      <c r="G498" s="468" t="s">
        <v>746</v>
      </c>
      <c r="H498" s="7" t="s">
        <v>685</v>
      </c>
      <c r="I498" s="256">
        <v>164</v>
      </c>
      <c r="J498" s="256">
        <v>34000</v>
      </c>
      <c r="K498" s="568">
        <f>ROUND(I498*J498,0)</f>
        <v>5576000</v>
      </c>
      <c r="L498" s="569" t="s">
        <v>253</v>
      </c>
      <c r="M498" s="569" t="s">
        <v>177</v>
      </c>
      <c r="N498" s="52" t="str">
        <f>IF(AND('331-CT'!$E$7=TH!H498,OR(L498="331",M498="331")),"331",IF(AND(OR(L498="131",M498="131"),H498='131-CT'!$E$7),"131",""))</f>
        <v/>
      </c>
      <c r="O498" s="89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15"/>
      <c r="AC498" s="211" t="str">
        <f>IF(F498=VLOOKUP(F498,NXT!$C$12:$C$345,1,0),"","x")</f>
        <v/>
      </c>
      <c r="AD498" s="211"/>
      <c r="AE498" s="211"/>
    </row>
    <row r="499" spans="1:31" s="560" customFormat="1" ht="15.75" customHeight="1">
      <c r="A499" s="204" t="str">
        <f>IF(B499&lt;&gt;"",IF(AND(B499&gt;=_TM1,B499&lt;=_TM2,OR(TH!L499="1111",TH!M499="1111")),TH!D499,""),"")</f>
        <v/>
      </c>
      <c r="B499" s="36">
        <f t="shared" si="37"/>
        <v>10</v>
      </c>
      <c r="C499" s="184">
        <f t="shared" si="38"/>
        <v>41934</v>
      </c>
      <c r="D499" s="184" t="s">
        <v>922</v>
      </c>
      <c r="E499" s="191">
        <v>41934</v>
      </c>
      <c r="F499" s="192" t="s">
        <v>747</v>
      </c>
      <c r="G499" s="468" t="s">
        <v>746</v>
      </c>
      <c r="H499" s="7" t="s">
        <v>685</v>
      </c>
      <c r="I499" s="256">
        <v>328</v>
      </c>
      <c r="J499" s="256">
        <v>1440</v>
      </c>
      <c r="K499" s="568">
        <f>ROUND(I499*J499,0)</f>
        <v>472320</v>
      </c>
      <c r="L499" s="569" t="s">
        <v>253</v>
      </c>
      <c r="M499" s="569" t="s">
        <v>177</v>
      </c>
      <c r="N499" s="52" t="str">
        <f>IF(AND('331-CT'!$E$7=TH!H499,OR(L499="331",M499="331")),"331",IF(AND(OR(L499="131",M499="131"),H499='131-CT'!$E$7),"131",""))</f>
        <v/>
      </c>
      <c r="O499" s="89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15"/>
      <c r="AC499" s="211" t="str">
        <f>IF(F499=VLOOKUP(F499,NXT!$C$12:$C$345,1,0),"","x")</f>
        <v/>
      </c>
      <c r="AD499" s="211"/>
      <c r="AE499" s="211"/>
    </row>
    <row r="500" spans="1:31" s="560" customFormat="1" ht="15.75" customHeight="1">
      <c r="A500" s="204" t="str">
        <f>IF(B500&lt;&gt;"",IF(AND(B500&gt;=_TM1,B500&lt;=_TM2,OR(TH!L500="1111",TH!M500="1111")),TH!D500,""),"")</f>
        <v/>
      </c>
      <c r="B500" s="36">
        <f t="shared" si="37"/>
        <v>10</v>
      </c>
      <c r="C500" s="184">
        <f t="shared" si="38"/>
        <v>41934</v>
      </c>
      <c r="D500" s="184" t="s">
        <v>922</v>
      </c>
      <c r="E500" s="191">
        <v>41934</v>
      </c>
      <c r="F500" s="192" t="s">
        <v>421</v>
      </c>
      <c r="G500" s="468" t="s">
        <v>746</v>
      </c>
      <c r="H500" s="7" t="s">
        <v>685</v>
      </c>
      <c r="I500" s="256"/>
      <c r="J500" s="256"/>
      <c r="K500" s="568">
        <v>604832</v>
      </c>
      <c r="L500" s="569" t="s">
        <v>253</v>
      </c>
      <c r="M500" s="569" t="s">
        <v>365</v>
      </c>
      <c r="N500" s="52" t="str">
        <f>IF(AND('331-CT'!$E$7=TH!H500,OR(L500="331",M500="331")),"331",IF(AND(OR(L500="131",M500="131"),H500='131-CT'!$E$7),"131",""))</f>
        <v/>
      </c>
      <c r="O500" s="89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15"/>
      <c r="AC500" s="560" t="str">
        <f>IF(VLOOKUP(H500,DS_131,1,0)&lt;&gt;"","","x")</f>
        <v/>
      </c>
      <c r="AD500" s="211"/>
      <c r="AE500" s="211"/>
    </row>
    <row r="501" spans="1:31" s="560" customFormat="1" ht="15.75" customHeight="1">
      <c r="A501" s="204" t="str">
        <f>IF(B501&lt;&gt;"",IF(AND(B501&gt;=_TM1,B501&lt;=_TM2,OR(TH!L501="1111",TH!M501="1111")),TH!D501,""),"")</f>
        <v/>
      </c>
      <c r="B501" s="36">
        <f t="shared" si="37"/>
        <v>10</v>
      </c>
      <c r="C501" s="184">
        <f t="shared" si="38"/>
        <v>41934</v>
      </c>
      <c r="D501" s="184" t="s">
        <v>923</v>
      </c>
      <c r="E501" s="191">
        <v>41934</v>
      </c>
      <c r="F501" s="192" t="s">
        <v>748</v>
      </c>
      <c r="G501" s="468" t="s">
        <v>749</v>
      </c>
      <c r="H501" s="7" t="s">
        <v>603</v>
      </c>
      <c r="I501" s="256">
        <v>738</v>
      </c>
      <c r="J501" s="256">
        <v>24000</v>
      </c>
      <c r="K501" s="568">
        <f>ROUND(I501*J501,0)</f>
        <v>17712000</v>
      </c>
      <c r="L501" s="569" t="s">
        <v>253</v>
      </c>
      <c r="M501" s="569" t="s">
        <v>177</v>
      </c>
      <c r="N501" s="52" t="str">
        <f>IF(AND('331-CT'!$E$7=TH!H501,OR(L501="331",M501="331")),"331",IF(AND(OR(L501="131",M501="131"),H501='131-CT'!$E$7),"131",""))</f>
        <v/>
      </c>
      <c r="O501" s="89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15"/>
      <c r="AC501" s="211" t="str">
        <f>IF(F501=VLOOKUP(F501,NXT!$C$12:$C$345,1,0),"","x")</f>
        <v/>
      </c>
      <c r="AD501" s="211"/>
      <c r="AE501" s="211"/>
    </row>
    <row r="502" spans="1:31" s="560" customFormat="1" ht="15.75" customHeight="1">
      <c r="A502" s="204" t="str">
        <f>IF(B502&lt;&gt;"",IF(AND(B502&gt;=_TM1,B502&lt;=_TM2,OR(TH!L502="1111",TH!M502="1111")),TH!D502,""),"")</f>
        <v/>
      </c>
      <c r="B502" s="36">
        <f t="shared" si="37"/>
        <v>10</v>
      </c>
      <c r="C502" s="184">
        <f t="shared" si="38"/>
        <v>41934</v>
      </c>
      <c r="D502" s="184" t="s">
        <v>923</v>
      </c>
      <c r="E502" s="191">
        <v>41934</v>
      </c>
      <c r="F502" s="192" t="s">
        <v>713</v>
      </c>
      <c r="G502" s="468" t="s">
        <v>749</v>
      </c>
      <c r="H502" s="7" t="s">
        <v>603</v>
      </c>
      <c r="I502" s="256">
        <v>30</v>
      </c>
      <c r="J502" s="256">
        <v>13500</v>
      </c>
      <c r="K502" s="568">
        <f>ROUND(I502*J502,0)</f>
        <v>405000</v>
      </c>
      <c r="L502" s="569" t="s">
        <v>253</v>
      </c>
      <c r="M502" s="569" t="s">
        <v>177</v>
      </c>
      <c r="N502" s="52" t="str">
        <f>IF(AND('331-CT'!$E$7=TH!H502,OR(L502="331",M502="331")),"331",IF(AND(OR(L502="131",M502="131"),H502='131-CT'!$E$7),"131",""))</f>
        <v/>
      </c>
      <c r="O502" s="89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15"/>
      <c r="AC502" s="211" t="str">
        <f>IF(F502=VLOOKUP(F502,NXT!$C$12:$C$345,1,0),"","x")</f>
        <v/>
      </c>
      <c r="AD502" s="211"/>
      <c r="AE502" s="211"/>
    </row>
    <row r="503" spans="1:31" s="855" customFormat="1" ht="15.75" customHeight="1">
      <c r="A503" s="844" t="str">
        <f>IF(B503&lt;&gt;"",IF(AND(B503&gt;=_TM1,B503&lt;=_TM2,OR(TH!L503="1111",TH!M503="1111")),TH!D503,""),"")</f>
        <v/>
      </c>
      <c r="B503" s="845">
        <f t="shared" si="37"/>
        <v>10</v>
      </c>
      <c r="C503" s="846">
        <f t="shared" si="38"/>
        <v>41934</v>
      </c>
      <c r="D503" s="846" t="s">
        <v>923</v>
      </c>
      <c r="E503" s="847">
        <v>41934</v>
      </c>
      <c r="F503" s="857" t="s">
        <v>421</v>
      </c>
      <c r="G503" s="858" t="s">
        <v>749</v>
      </c>
      <c r="H503" s="850" t="s">
        <v>603</v>
      </c>
      <c r="I503" s="851"/>
      <c r="J503" s="851"/>
      <c r="K503" s="852">
        <v>1811700</v>
      </c>
      <c r="L503" s="853" t="s">
        <v>253</v>
      </c>
      <c r="M503" s="569" t="s">
        <v>365</v>
      </c>
      <c r="N503" s="52" t="str">
        <f>IF(AND('331-CT'!$E$7=TH!H503,OR(L503="331",M503="331")),"331",IF(AND(OR(L503="131",M503="131"),H503='131-CT'!$E$7),"131",""))</f>
        <v/>
      </c>
      <c r="O503" s="89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54"/>
      <c r="AC503" s="855" t="str">
        <f>IF(VLOOKUP(H503,DS_131,1,0)&lt;&gt;"","","x")</f>
        <v/>
      </c>
      <c r="AD503" s="856">
        <v>1817012</v>
      </c>
      <c r="AE503" s="859">
        <f>AD503-K503</f>
        <v>5312</v>
      </c>
    </row>
    <row r="504" spans="1:31" s="560" customFormat="1" ht="15.75" customHeight="1">
      <c r="A504" s="204" t="str">
        <f>IF(B504&lt;&gt;"",IF(AND(B504&gt;=_TM1,B504&lt;=_TM2,OR(TH!L504="1111",TH!M504="1111")),TH!D504,""),"")</f>
        <v/>
      </c>
      <c r="B504" s="36">
        <f t="shared" si="37"/>
        <v>10</v>
      </c>
      <c r="C504" s="184">
        <f t="shared" si="38"/>
        <v>41935</v>
      </c>
      <c r="D504" s="184" t="s">
        <v>924</v>
      </c>
      <c r="E504" s="191">
        <v>41935</v>
      </c>
      <c r="F504" s="192" t="s">
        <v>653</v>
      </c>
      <c r="G504" s="468" t="s">
        <v>750</v>
      </c>
      <c r="H504" s="7" t="s">
        <v>655</v>
      </c>
      <c r="I504" s="256">
        <v>4080</v>
      </c>
      <c r="J504" s="256">
        <v>7400</v>
      </c>
      <c r="K504" s="568">
        <f>ROUND(I504*J504,0)</f>
        <v>30192000</v>
      </c>
      <c r="L504" s="569" t="s">
        <v>253</v>
      </c>
      <c r="M504" s="569" t="s">
        <v>177</v>
      </c>
      <c r="N504" s="52" t="str">
        <f>IF(AND('331-CT'!$E$7=TH!H504,OR(L504="331",M504="331")),"331",IF(AND(OR(L504="131",M504="131"),H504='131-CT'!$E$7),"131",""))</f>
        <v/>
      </c>
      <c r="O504" s="89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15"/>
      <c r="AC504" s="211" t="str">
        <f>IF(F504=VLOOKUP(F504,NXT!$C$12:$C$345,1,0),"","x")</f>
        <v/>
      </c>
      <c r="AD504" s="211"/>
      <c r="AE504" s="211"/>
    </row>
    <row r="505" spans="1:31" s="560" customFormat="1" ht="15.75" customHeight="1">
      <c r="A505" s="204" t="str">
        <f>IF(B505&lt;&gt;"",IF(AND(B505&gt;=_TM1,B505&lt;=_TM2,OR(TH!L505="1111",TH!M505="1111")),TH!D505,""),"")</f>
        <v/>
      </c>
      <c r="B505" s="36">
        <f t="shared" si="37"/>
        <v>10</v>
      </c>
      <c r="C505" s="184">
        <f t="shared" si="38"/>
        <v>41935</v>
      </c>
      <c r="D505" s="184" t="s">
        <v>924</v>
      </c>
      <c r="E505" s="191">
        <v>41935</v>
      </c>
      <c r="F505" s="192" t="s">
        <v>421</v>
      </c>
      <c r="G505" s="468" t="s">
        <v>750</v>
      </c>
      <c r="H505" s="7" t="s">
        <v>655</v>
      </c>
      <c r="I505" s="256"/>
      <c r="J505" s="256"/>
      <c r="K505" s="568">
        <v>3019200</v>
      </c>
      <c r="L505" s="569" t="s">
        <v>253</v>
      </c>
      <c r="M505" s="569" t="s">
        <v>365</v>
      </c>
      <c r="N505" s="52" t="str">
        <f>IF(AND('331-CT'!$E$7=TH!H505,OR(L505="331",M505="331")),"331",IF(AND(OR(L505="131",M505="131"),H505='131-CT'!$E$7),"131",""))</f>
        <v/>
      </c>
      <c r="O505" s="89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15"/>
      <c r="AC505" s="560" t="str">
        <f>IF(VLOOKUP(H505,DS_131,1,0)&lt;&gt;"","","x")</f>
        <v/>
      </c>
      <c r="AD505" s="211"/>
      <c r="AE505" s="211"/>
    </row>
    <row r="506" spans="1:31" s="560" customFormat="1" ht="15.75" customHeight="1">
      <c r="A506" s="204" t="str">
        <f>IF(B506&lt;&gt;"",IF(AND(B506&gt;=_TM1,B506&lt;=_TM2,OR(TH!L506="1111",TH!M506="1111")),TH!D506,""),"")</f>
        <v/>
      </c>
      <c r="B506" s="36">
        <f t="shared" si="37"/>
        <v>10</v>
      </c>
      <c r="C506" s="184">
        <f t="shared" si="38"/>
        <v>41937</v>
      </c>
      <c r="D506" s="184" t="s">
        <v>925</v>
      </c>
      <c r="E506" s="191">
        <v>41937</v>
      </c>
      <c r="F506" s="192" t="s">
        <v>437</v>
      </c>
      <c r="G506" s="468" t="s">
        <v>751</v>
      </c>
      <c r="H506" s="7" t="s">
        <v>439</v>
      </c>
      <c r="I506" s="256">
        <v>388</v>
      </c>
      <c r="J506" s="256">
        <v>10500</v>
      </c>
      <c r="K506" s="568">
        <f>ROUND(I506*J506,0)</f>
        <v>4074000</v>
      </c>
      <c r="L506" s="569" t="s">
        <v>253</v>
      </c>
      <c r="M506" s="569" t="s">
        <v>177</v>
      </c>
      <c r="N506" s="52" t="str">
        <f>IF(AND('331-CT'!$E$7=TH!H506,OR(L506="331",M506="331")),"331",IF(AND(OR(L506="131",M506="131"),H506='131-CT'!$E$7),"131",""))</f>
        <v/>
      </c>
      <c r="O506" s="89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15"/>
      <c r="AC506" s="211" t="str">
        <f>IF(F506=VLOOKUP(F506,NXT!$C$12:$C$345,1,0),"","x")</f>
        <v/>
      </c>
      <c r="AD506" s="211"/>
      <c r="AE506" s="211"/>
    </row>
    <row r="507" spans="1:31" s="560" customFormat="1" ht="15.75" customHeight="1">
      <c r="A507" s="204" t="str">
        <f>IF(B507&lt;&gt;"",IF(AND(B507&gt;=_TM1,B507&lt;=_TM2,OR(TH!L507="1111",TH!M507="1111")),TH!D507,""),"")</f>
        <v/>
      </c>
      <c r="B507" s="36">
        <f t="shared" si="37"/>
        <v>10</v>
      </c>
      <c r="C507" s="184">
        <f t="shared" si="38"/>
        <v>41937</v>
      </c>
      <c r="D507" s="184" t="s">
        <v>925</v>
      </c>
      <c r="E507" s="191">
        <v>41937</v>
      </c>
      <c r="F507" s="192" t="s">
        <v>567</v>
      </c>
      <c r="G507" s="468" t="s">
        <v>751</v>
      </c>
      <c r="H507" s="7" t="s">
        <v>439</v>
      </c>
      <c r="I507" s="256">
        <v>405</v>
      </c>
      <c r="J507" s="256">
        <v>10500</v>
      </c>
      <c r="K507" s="568">
        <f>ROUND(I507*J507,0)</f>
        <v>4252500</v>
      </c>
      <c r="L507" s="569" t="s">
        <v>253</v>
      </c>
      <c r="M507" s="569" t="s">
        <v>177</v>
      </c>
      <c r="N507" s="52" t="str">
        <f>IF(AND('331-CT'!$E$7=TH!H507,OR(L507="331",M507="331")),"331",IF(AND(OR(L507="131",M507="131"),H507='131-CT'!$E$7),"131",""))</f>
        <v/>
      </c>
      <c r="O507" s="89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15"/>
      <c r="AC507" s="211" t="str">
        <f>IF(F507=VLOOKUP(F507,NXT!$C$12:$C$345,1,0),"","x")</f>
        <v/>
      </c>
      <c r="AD507" s="211"/>
      <c r="AE507" s="211"/>
    </row>
    <row r="508" spans="1:31" s="560" customFormat="1" ht="15.75" customHeight="1">
      <c r="A508" s="204" t="str">
        <f>IF(B508&lt;&gt;"",IF(AND(B508&gt;=_TM1,B508&lt;=_TM2,OR(TH!L508="1111",TH!M508="1111")),TH!D508,""),"")</f>
        <v/>
      </c>
      <c r="B508" s="36">
        <f t="shared" si="37"/>
        <v>10</v>
      </c>
      <c r="C508" s="184">
        <f t="shared" si="38"/>
        <v>41937</v>
      </c>
      <c r="D508" s="184" t="s">
        <v>925</v>
      </c>
      <c r="E508" s="191">
        <v>41937</v>
      </c>
      <c r="F508" s="192" t="s">
        <v>421</v>
      </c>
      <c r="G508" s="468" t="s">
        <v>751</v>
      </c>
      <c r="H508" s="7" t="s">
        <v>439</v>
      </c>
      <c r="I508" s="256"/>
      <c r="J508" s="256"/>
      <c r="K508" s="568">
        <v>832650</v>
      </c>
      <c r="L508" s="569" t="s">
        <v>253</v>
      </c>
      <c r="M508" s="569" t="s">
        <v>365</v>
      </c>
      <c r="N508" s="52" t="str">
        <f>IF(AND('331-CT'!$E$7=TH!H508,OR(L508="331",M508="331")),"331",IF(AND(OR(L508="131",M508="131"),H508='131-CT'!$E$7),"131",""))</f>
        <v/>
      </c>
      <c r="O508" s="89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15"/>
      <c r="AC508" s="560" t="str">
        <f>IF(VLOOKUP(H508,DS_131,1,0)&lt;&gt;"","","x")</f>
        <v/>
      </c>
      <c r="AD508" s="211"/>
      <c r="AE508" s="211"/>
    </row>
    <row r="509" spans="1:31" s="560" customFormat="1" ht="15.75" customHeight="1">
      <c r="A509" s="204" t="str">
        <f>IF(B509&lt;&gt;"",IF(AND(B509&gt;=_TM1,B509&lt;=_TM2,OR(TH!L509="1111",TH!M509="1111")),TH!D509,""),"")</f>
        <v/>
      </c>
      <c r="B509" s="36">
        <f t="shared" si="37"/>
        <v>10</v>
      </c>
      <c r="C509" s="184">
        <f t="shared" si="38"/>
        <v>41940</v>
      </c>
      <c r="D509" s="184" t="s">
        <v>926</v>
      </c>
      <c r="E509" s="191">
        <v>41940</v>
      </c>
      <c r="F509" s="192" t="s">
        <v>752</v>
      </c>
      <c r="G509" s="468" t="s">
        <v>753</v>
      </c>
      <c r="H509" s="7" t="s">
        <v>685</v>
      </c>
      <c r="I509" s="256">
        <v>57</v>
      </c>
      <c r="J509" s="256">
        <v>34000</v>
      </c>
      <c r="K509" s="568">
        <f>ROUND(I509*J509,0)</f>
        <v>1938000</v>
      </c>
      <c r="L509" s="569" t="s">
        <v>253</v>
      </c>
      <c r="M509" s="569" t="s">
        <v>177</v>
      </c>
      <c r="N509" s="52" t="str">
        <f>IF(AND('331-CT'!$E$7=TH!H509,OR(L509="331",M509="331")),"331",IF(AND(OR(L509="131",M509="131"),H509='131-CT'!$E$7),"131",""))</f>
        <v/>
      </c>
      <c r="O509" s="89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15"/>
      <c r="AC509" s="211" t="str">
        <f>IF(F509=VLOOKUP(F509,NXT!$C$12:$C$345,1,0),"","x")</f>
        <v/>
      </c>
      <c r="AD509" s="211"/>
      <c r="AE509" s="211"/>
    </row>
    <row r="510" spans="1:31" s="560" customFormat="1" ht="15.75" customHeight="1">
      <c r="A510" s="204" t="str">
        <f>IF(B510&lt;&gt;"",IF(AND(B510&gt;=_TM1,B510&lt;=_TM2,OR(TH!L510="1111",TH!M510="1111")),TH!D510,""),"")</f>
        <v/>
      </c>
      <c r="B510" s="36">
        <f t="shared" si="37"/>
        <v>10</v>
      </c>
      <c r="C510" s="184">
        <f t="shared" si="38"/>
        <v>41940</v>
      </c>
      <c r="D510" s="184" t="s">
        <v>926</v>
      </c>
      <c r="E510" s="191">
        <v>41940</v>
      </c>
      <c r="F510" s="192" t="s">
        <v>754</v>
      </c>
      <c r="G510" s="468" t="s">
        <v>753</v>
      </c>
      <c r="H510" s="7" t="s">
        <v>685</v>
      </c>
      <c r="I510" s="256">
        <v>236</v>
      </c>
      <c r="J510" s="256">
        <v>32000</v>
      </c>
      <c r="K510" s="568">
        <f>ROUND(I510*J510,0)</f>
        <v>7552000</v>
      </c>
      <c r="L510" s="569" t="s">
        <v>253</v>
      </c>
      <c r="M510" s="569" t="s">
        <v>177</v>
      </c>
      <c r="N510" s="52" t="str">
        <f>IF(AND('331-CT'!$E$7=TH!H510,OR(L510="331",M510="331")),"331",IF(AND(OR(L510="131",M510="131"),H510='131-CT'!$E$7),"131",""))</f>
        <v/>
      </c>
      <c r="O510" s="89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15"/>
      <c r="AC510" s="211" t="str">
        <f>IF(F510=VLOOKUP(F510,NXT!$C$12:$C$345,1,0),"","x")</f>
        <v/>
      </c>
      <c r="AD510" s="211"/>
      <c r="AE510" s="211"/>
    </row>
    <row r="511" spans="1:31" s="560" customFormat="1" ht="15.75" customHeight="1">
      <c r="A511" s="204" t="str">
        <f>IF(B511&lt;&gt;"",IF(AND(B511&gt;=_TM1,B511&lt;=_TM2,OR(TH!L511="1111",TH!M511="1111")),TH!D511,""),"")</f>
        <v/>
      </c>
      <c r="B511" s="36">
        <f t="shared" si="37"/>
        <v>10</v>
      </c>
      <c r="C511" s="184">
        <f t="shared" si="38"/>
        <v>41940</v>
      </c>
      <c r="D511" s="184" t="s">
        <v>926</v>
      </c>
      <c r="E511" s="191">
        <v>41940</v>
      </c>
      <c r="F511" s="192" t="s">
        <v>747</v>
      </c>
      <c r="G511" s="468" t="s">
        <v>753</v>
      </c>
      <c r="H511" s="7" t="s">
        <v>685</v>
      </c>
      <c r="I511" s="256">
        <v>586</v>
      </c>
      <c r="J511" s="256">
        <v>1440</v>
      </c>
      <c r="K511" s="568">
        <f>ROUND(I511*J511,0)</f>
        <v>843840</v>
      </c>
      <c r="L511" s="569" t="s">
        <v>253</v>
      </c>
      <c r="M511" s="569" t="s">
        <v>177</v>
      </c>
      <c r="N511" s="52" t="str">
        <f>IF(AND('331-CT'!$E$7=TH!H511,OR(L511="331",M511="331")),"331",IF(AND(OR(L511="131",M511="131"),H511='131-CT'!$E$7),"131",""))</f>
        <v/>
      </c>
      <c r="O511" s="89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15"/>
      <c r="AC511" s="211" t="str">
        <f>IF(F511=VLOOKUP(F511,NXT!$C$12:$C$345,1,0),"","x")</f>
        <v/>
      </c>
      <c r="AD511" s="211"/>
      <c r="AE511" s="211"/>
    </row>
    <row r="512" spans="1:31" s="560" customFormat="1" ht="15.75" customHeight="1">
      <c r="A512" s="204" t="str">
        <f>IF(B512&lt;&gt;"",IF(AND(B512&gt;=_TM1,B512&lt;=_TM2,OR(TH!L512="1111",TH!M512="1111")),TH!D512,""),"")</f>
        <v/>
      </c>
      <c r="B512" s="36">
        <f t="shared" si="37"/>
        <v>10</v>
      </c>
      <c r="C512" s="184">
        <f t="shared" si="38"/>
        <v>41940</v>
      </c>
      <c r="D512" s="184" t="s">
        <v>926</v>
      </c>
      <c r="E512" s="191">
        <v>41940</v>
      </c>
      <c r="F512" s="192" t="s">
        <v>421</v>
      </c>
      <c r="G512" s="468" t="s">
        <v>753</v>
      </c>
      <c r="H512" s="7" t="s">
        <v>685</v>
      </c>
      <c r="I512" s="256"/>
      <c r="J512" s="256"/>
      <c r="K512" s="568">
        <v>1033384</v>
      </c>
      <c r="L512" s="569" t="s">
        <v>253</v>
      </c>
      <c r="M512" s="569" t="s">
        <v>365</v>
      </c>
      <c r="N512" s="52" t="str">
        <f>IF(AND('331-CT'!$E$7=TH!H512,OR(L512="331",M512="331")),"331",IF(AND(OR(L512="131",M512="131"),H512='131-CT'!$E$7),"131",""))</f>
        <v/>
      </c>
      <c r="O512" s="89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15"/>
      <c r="AC512" s="560" t="str">
        <f>IF(VLOOKUP(H512,DS_131,1,0)&lt;&gt;"","","x")</f>
        <v/>
      </c>
      <c r="AD512" s="211"/>
      <c r="AE512" s="211"/>
    </row>
    <row r="513" spans="1:31" s="560" customFormat="1" ht="15.75" customHeight="1">
      <c r="A513" s="204" t="str">
        <f>IF(B513&lt;&gt;"",IF(AND(B513&gt;=_TM1,B513&lt;=_TM2,OR(TH!L513="1111",TH!M513="1111")),TH!D513,""),"")</f>
        <v/>
      </c>
      <c r="B513" s="36">
        <f t="shared" si="37"/>
        <v>10</v>
      </c>
      <c r="C513" s="184">
        <f t="shared" si="38"/>
        <v>41940</v>
      </c>
      <c r="D513" s="184" t="s">
        <v>927</v>
      </c>
      <c r="E513" s="191">
        <v>41940</v>
      </c>
      <c r="F513" s="189" t="s">
        <v>755</v>
      </c>
      <c r="G513" s="468" t="s">
        <v>756</v>
      </c>
      <c r="H513" s="7" t="s">
        <v>642</v>
      </c>
      <c r="I513" s="259">
        <v>1028</v>
      </c>
      <c r="J513" s="259">
        <v>5400</v>
      </c>
      <c r="K513" s="568">
        <f>ROUND(I513*J513,0)</f>
        <v>5551200</v>
      </c>
      <c r="L513" s="569" t="s">
        <v>253</v>
      </c>
      <c r="M513" s="569" t="s">
        <v>177</v>
      </c>
      <c r="N513" s="52" t="str">
        <f>IF(AND('331-CT'!$E$7=TH!H513,OR(L513="331",M513="331")),"331",IF(AND(OR(L513="131",M513="131"),H513='131-CT'!$E$7),"131",""))</f>
        <v/>
      </c>
      <c r="O513" s="89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15"/>
      <c r="AC513" s="211" t="str">
        <f>IF(F513=VLOOKUP(F513,NXT!$C$12:$C$345,1,0),"","x")</f>
        <v/>
      </c>
      <c r="AD513" s="211"/>
      <c r="AE513" s="211"/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37"/>
        <v>10</v>
      </c>
      <c r="C514" s="184">
        <f t="shared" si="38"/>
        <v>41940</v>
      </c>
      <c r="D514" s="184" t="s">
        <v>927</v>
      </c>
      <c r="E514" s="191">
        <v>41940</v>
      </c>
      <c r="F514" s="192" t="s">
        <v>421</v>
      </c>
      <c r="G514" s="468" t="s">
        <v>756</v>
      </c>
      <c r="H514" s="7" t="s">
        <v>642</v>
      </c>
      <c r="I514" s="259"/>
      <c r="J514" s="259"/>
      <c r="K514" s="568">
        <v>555120</v>
      </c>
      <c r="L514" s="569" t="s">
        <v>253</v>
      </c>
      <c r="M514" s="569" t="s">
        <v>365</v>
      </c>
      <c r="N514" s="52" t="str">
        <f>IF(AND('331-CT'!$E$7=TH!H514,OR(L514="331",M514="331")),"331",IF(AND(OR(L514="131",M514="131"),H514='131-CT'!$E$7),"131",""))</f>
        <v/>
      </c>
      <c r="O514" s="89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15"/>
      <c r="AC514" s="560" t="str">
        <f>IF(VLOOKUP(H514,DS_131,1,0)&lt;&gt;"","","x")</f>
        <v/>
      </c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37"/>
        <v>10</v>
      </c>
      <c r="C515" s="184">
        <f t="shared" si="38"/>
        <v>41941</v>
      </c>
      <c r="D515" s="184" t="s">
        <v>928</v>
      </c>
      <c r="E515" s="191">
        <v>41941</v>
      </c>
      <c r="F515" s="189" t="s">
        <v>1208</v>
      </c>
      <c r="G515" s="468" t="s">
        <v>757</v>
      </c>
      <c r="H515" s="7" t="s">
        <v>478</v>
      </c>
      <c r="I515" s="256">
        <v>500</v>
      </c>
      <c r="J515" s="256">
        <v>1000</v>
      </c>
      <c r="K515" s="568">
        <f>ROUND(I515*J515,0)</f>
        <v>500000</v>
      </c>
      <c r="L515" s="569" t="s">
        <v>253</v>
      </c>
      <c r="M515" s="569" t="s">
        <v>177</v>
      </c>
      <c r="N515" s="52" t="str">
        <f>IF(AND('331-CT'!$E$7=TH!H515,OR(L515="331",M515="331")),"331",IF(AND(OR(L515="131",M515="131"),H515='131-CT'!$E$7),"131",""))</f>
        <v/>
      </c>
      <c r="O515" s="89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15"/>
      <c r="AC515" s="211" t="str">
        <f>IF(F515=VLOOKUP(F515,NXT!$C$12:$C$345,1,0),"","x")</f>
        <v/>
      </c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37"/>
        <v>10</v>
      </c>
      <c r="C516" s="184">
        <f t="shared" si="38"/>
        <v>41941</v>
      </c>
      <c r="D516" s="184" t="s">
        <v>928</v>
      </c>
      <c r="E516" s="191">
        <v>41941</v>
      </c>
      <c r="F516" s="40" t="s">
        <v>1209</v>
      </c>
      <c r="G516" s="468" t="s">
        <v>757</v>
      </c>
      <c r="H516" s="7" t="s">
        <v>478</v>
      </c>
      <c r="I516" s="257">
        <v>500</v>
      </c>
      <c r="J516" s="257">
        <v>900</v>
      </c>
      <c r="K516" s="568">
        <f>ROUND(I516*J516,0)</f>
        <v>450000</v>
      </c>
      <c r="L516" s="569" t="s">
        <v>253</v>
      </c>
      <c r="M516" s="569" t="s">
        <v>177</v>
      </c>
      <c r="N516" s="52" t="str">
        <f>IF(AND('331-CT'!$E$7=TH!H516,OR(L516="331",M516="331")),"331",IF(AND(OR(L516="131",M516="131"),H516='131-CT'!$E$7),"131",""))</f>
        <v/>
      </c>
      <c r="O516" s="89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15"/>
      <c r="AC516" s="211" t="str">
        <f>IF(F516=VLOOKUP(F516,NXT!$C$12:$C$345,1,0),"","x")</f>
        <v/>
      </c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37"/>
        <v>10</v>
      </c>
      <c r="C517" s="184">
        <f t="shared" si="38"/>
        <v>41941</v>
      </c>
      <c r="D517" s="184" t="s">
        <v>928</v>
      </c>
      <c r="E517" s="191">
        <v>41941</v>
      </c>
      <c r="F517" s="40" t="s">
        <v>1210</v>
      </c>
      <c r="G517" s="468" t="s">
        <v>757</v>
      </c>
      <c r="H517" s="7" t="s">
        <v>478</v>
      </c>
      <c r="I517" s="256">
        <v>500</v>
      </c>
      <c r="J517" s="256">
        <v>1600</v>
      </c>
      <c r="K517" s="568">
        <f>ROUND(I517*J517,0)</f>
        <v>800000</v>
      </c>
      <c r="L517" s="569" t="s">
        <v>253</v>
      </c>
      <c r="M517" s="569" t="s">
        <v>177</v>
      </c>
      <c r="N517" s="52" t="str">
        <f>IF(AND('331-CT'!$E$7=TH!H517,OR(L517="331",M517="331")),"331",IF(AND(OR(L517="131",M517="131"),H517='131-CT'!$E$7),"131",""))</f>
        <v/>
      </c>
      <c r="O517" s="89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15"/>
      <c r="AC517" s="211" t="str">
        <f>IF(F517=VLOOKUP(F517,NXT!$C$12:$C$345,1,0),"","x")</f>
        <v/>
      </c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37"/>
        <v>10</v>
      </c>
      <c r="C518" s="184">
        <f t="shared" si="38"/>
        <v>41941</v>
      </c>
      <c r="D518" s="184" t="s">
        <v>928</v>
      </c>
      <c r="E518" s="191">
        <v>41941</v>
      </c>
      <c r="F518" s="192" t="s">
        <v>421</v>
      </c>
      <c r="G518" s="468" t="s">
        <v>757</v>
      </c>
      <c r="H518" s="7" t="s">
        <v>478</v>
      </c>
      <c r="I518" s="256"/>
      <c r="J518" s="256"/>
      <c r="K518" s="568">
        <v>175000</v>
      </c>
      <c r="L518" s="569" t="s">
        <v>253</v>
      </c>
      <c r="M518" s="569" t="s">
        <v>365</v>
      </c>
      <c r="N518" s="52" t="str">
        <f>IF(AND('331-CT'!$E$7=TH!H518,OR(L518="331",M518="331")),"331",IF(AND(OR(L518="131",M518="131"),H518='131-CT'!$E$7),"131",""))</f>
        <v/>
      </c>
      <c r="O518" s="89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15"/>
      <c r="AC518" s="560" t="str">
        <f>IF(VLOOKUP(H518,DS_131,1,0)&lt;&gt;"","","x")</f>
        <v/>
      </c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37"/>
        <v>10</v>
      </c>
      <c r="C519" s="184">
        <f t="shared" si="38"/>
        <v>41942</v>
      </c>
      <c r="D519" s="184" t="s">
        <v>929</v>
      </c>
      <c r="E519" s="191">
        <v>41942</v>
      </c>
      <c r="F519" s="189" t="s">
        <v>1211</v>
      </c>
      <c r="G519" s="468" t="s">
        <v>758</v>
      </c>
      <c r="H519" s="7" t="s">
        <v>908</v>
      </c>
      <c r="I519" s="256">
        <v>595</v>
      </c>
      <c r="J519" s="256">
        <v>14300</v>
      </c>
      <c r="K519" s="568">
        <f>ROUND(I519*J519,0)</f>
        <v>8508500</v>
      </c>
      <c r="L519" s="569" t="s">
        <v>253</v>
      </c>
      <c r="M519" s="569" t="s">
        <v>177</v>
      </c>
      <c r="N519" s="52" t="str">
        <f>IF(AND('331-CT'!$E$7=TH!H519,OR(L519="331",M519="331")),"331",IF(AND(OR(L519="131",M519="131"),H519='131-CT'!$E$7),"131",""))</f>
        <v/>
      </c>
      <c r="O519" s="89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15"/>
      <c r="AC519" s="211" t="str">
        <f>IF(F519=VLOOKUP(F519,NXT!$C$12:$C$345,1,0),"","x")</f>
        <v/>
      </c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37"/>
        <v>10</v>
      </c>
      <c r="C520" s="184">
        <f t="shared" si="38"/>
        <v>41942</v>
      </c>
      <c r="D520" s="184" t="s">
        <v>929</v>
      </c>
      <c r="E520" s="37">
        <v>41942</v>
      </c>
      <c r="F520" s="40" t="s">
        <v>446</v>
      </c>
      <c r="G520" s="570" t="s">
        <v>758</v>
      </c>
      <c r="H520" s="7" t="s">
        <v>908</v>
      </c>
      <c r="I520" s="256">
        <v>1190</v>
      </c>
      <c r="J520" s="256">
        <v>1500</v>
      </c>
      <c r="K520" s="568">
        <f>ROUND(I520*J520,0)</f>
        <v>1785000</v>
      </c>
      <c r="L520" s="569" t="s">
        <v>253</v>
      </c>
      <c r="M520" s="569" t="s">
        <v>177</v>
      </c>
      <c r="N520" s="52" t="str">
        <f>IF(AND('331-CT'!$E$7=TH!H520,OR(L520="331",M520="331")),"331",IF(AND(OR(L520="131",M520="131"),H520='131-CT'!$E$7),"131",""))</f>
        <v/>
      </c>
      <c r="O520" s="89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15"/>
      <c r="AC520" s="211" t="str">
        <f>IF(F520=VLOOKUP(F520,NXT!$C$12:$C$345,1,0),"","x")</f>
        <v/>
      </c>
      <c r="AD520" s="560"/>
      <c r="AE520" s="560"/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37"/>
        <v>10</v>
      </c>
      <c r="C521" s="184">
        <f t="shared" si="38"/>
        <v>41942</v>
      </c>
      <c r="D521" s="184" t="s">
        <v>929</v>
      </c>
      <c r="E521" s="37">
        <v>41942</v>
      </c>
      <c r="F521" s="192" t="s">
        <v>421</v>
      </c>
      <c r="G521" s="570" t="s">
        <v>758</v>
      </c>
      <c r="H521" s="7" t="s">
        <v>908</v>
      </c>
      <c r="I521" s="256"/>
      <c r="J521" s="256"/>
      <c r="K521" s="568">
        <v>1029350</v>
      </c>
      <c r="L521" s="569" t="s">
        <v>253</v>
      </c>
      <c r="M521" s="569" t="s">
        <v>365</v>
      </c>
      <c r="N521" s="52" t="str">
        <f>IF(AND('331-CT'!$E$7=TH!H521,OR(L521="331",M521="331")),"331",IF(AND(OR(L521="131",M521="131"),H521='131-CT'!$E$7),"131",""))</f>
        <v/>
      </c>
      <c r="O521" s="89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15"/>
      <c r="AC521" s="560" t="str">
        <f>IF(VLOOKUP(H521,DS_131,1,0)&lt;&gt;"","","x")</f>
        <v/>
      </c>
      <c r="AD521" s="560"/>
      <c r="AE521" s="560"/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37"/>
        <v>10</v>
      </c>
      <c r="C522" s="184">
        <f t="shared" si="38"/>
        <v>41942</v>
      </c>
      <c r="D522" s="184" t="s">
        <v>930</v>
      </c>
      <c r="E522" s="37">
        <v>41942</v>
      </c>
      <c r="F522" s="189" t="s">
        <v>460</v>
      </c>
      <c r="G522" s="570" t="s">
        <v>759</v>
      </c>
      <c r="H522" s="7" t="s">
        <v>462</v>
      </c>
      <c r="I522" s="256">
        <v>1005</v>
      </c>
      <c r="J522" s="256">
        <v>8740</v>
      </c>
      <c r="K522" s="568">
        <f>ROUND(I522*J522,0)</f>
        <v>8783700</v>
      </c>
      <c r="L522" s="569" t="s">
        <v>253</v>
      </c>
      <c r="M522" s="569" t="s">
        <v>177</v>
      </c>
      <c r="N522" s="52" t="str">
        <f>IF(AND('331-CT'!$E$7=TH!H522,OR(L522="331",M522="331")),"331",IF(AND(OR(L522="131",M522="131"),H522='131-CT'!$E$7),"131",""))</f>
        <v/>
      </c>
      <c r="O522" s="89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15"/>
      <c r="AC522" s="211" t="str">
        <f>IF(F522=VLOOKUP(F522,NXT!$C$12:$C$345,1,0),"","x")</f>
        <v/>
      </c>
      <c r="AD522" s="560"/>
      <c r="AE522" s="560"/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37"/>
        <v>10</v>
      </c>
      <c r="C523" s="184">
        <f t="shared" si="38"/>
        <v>41942</v>
      </c>
      <c r="D523" s="184" t="s">
        <v>930</v>
      </c>
      <c r="E523" s="191">
        <v>41942</v>
      </c>
      <c r="F523" s="192" t="s">
        <v>421</v>
      </c>
      <c r="G523" s="468" t="s">
        <v>759</v>
      </c>
      <c r="H523" s="210" t="s">
        <v>462</v>
      </c>
      <c r="I523" s="256"/>
      <c r="J523" s="256"/>
      <c r="K523" s="568">
        <v>878370</v>
      </c>
      <c r="L523" s="569" t="s">
        <v>253</v>
      </c>
      <c r="M523" s="569" t="s">
        <v>365</v>
      </c>
      <c r="N523" s="52" t="str">
        <f>IF(AND('331-CT'!$E$7=TH!H523,OR(L523="331",M523="331")),"331",IF(AND(OR(L523="131",M523="131"),H523='131-CT'!$E$7),"131",""))</f>
        <v/>
      </c>
      <c r="O523" s="89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15"/>
      <c r="AC523" s="560" t="str">
        <f>IF(VLOOKUP(H523,DS_131,1,0)&lt;&gt;"","","x")</f>
        <v/>
      </c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37"/>
        <v>11</v>
      </c>
      <c r="C524" s="184">
        <f t="shared" si="38"/>
        <v>41947</v>
      </c>
      <c r="D524" s="184" t="s">
        <v>931</v>
      </c>
      <c r="E524" s="191">
        <v>41947</v>
      </c>
      <c r="F524" s="192" t="s">
        <v>513</v>
      </c>
      <c r="G524" s="468" t="s">
        <v>760</v>
      </c>
      <c r="H524" s="7" t="s">
        <v>909</v>
      </c>
      <c r="I524" s="256">
        <v>300</v>
      </c>
      <c r="J524" s="256">
        <v>7000</v>
      </c>
      <c r="K524" s="568">
        <f>ROUND(I524*J524,0)</f>
        <v>2100000</v>
      </c>
      <c r="L524" s="569" t="s">
        <v>253</v>
      </c>
      <c r="M524" s="569" t="s">
        <v>177</v>
      </c>
      <c r="N524" s="52" t="str">
        <f>IF(AND('331-CT'!$E$7=TH!H524,OR(L524="331",M524="331")),"331",IF(AND(OR(L524="131",M524="131"),H524='131-CT'!$E$7),"131",""))</f>
        <v/>
      </c>
      <c r="O524" s="89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15"/>
      <c r="AC524" s="211" t="str">
        <f>IF(F524=VLOOKUP(F524,NXT!$C$12:$C$345,1,0),"","x")</f>
        <v/>
      </c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37"/>
        <v>11</v>
      </c>
      <c r="C525" s="184">
        <f t="shared" si="38"/>
        <v>41947</v>
      </c>
      <c r="D525" s="184" t="s">
        <v>931</v>
      </c>
      <c r="E525" s="191">
        <v>41947</v>
      </c>
      <c r="F525" s="192" t="s">
        <v>487</v>
      </c>
      <c r="G525" s="468" t="s">
        <v>760</v>
      </c>
      <c r="H525" s="7" t="s">
        <v>909</v>
      </c>
      <c r="I525" s="256">
        <v>300</v>
      </c>
      <c r="J525" s="256">
        <v>9300</v>
      </c>
      <c r="K525" s="568">
        <f>ROUND(I525*J525,0)</f>
        <v>2790000</v>
      </c>
      <c r="L525" s="569" t="s">
        <v>253</v>
      </c>
      <c r="M525" s="569" t="s">
        <v>177</v>
      </c>
      <c r="N525" s="52" t="str">
        <f>IF(AND('331-CT'!$E$7=TH!H525,OR(L525="331",M525="331")),"331",IF(AND(OR(L525="131",M525="131"),H525='131-CT'!$E$7),"131",""))</f>
        <v/>
      </c>
      <c r="O525" s="89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15"/>
      <c r="AC525" s="211" t="str">
        <f>IF(F525=VLOOKUP(F525,NXT!$C$12:$C$345,1,0),"","x")</f>
        <v/>
      </c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37"/>
        <v>11</v>
      </c>
      <c r="C526" s="184">
        <f t="shared" si="38"/>
        <v>41947</v>
      </c>
      <c r="D526" s="184" t="s">
        <v>931</v>
      </c>
      <c r="E526" s="191">
        <v>41947</v>
      </c>
      <c r="F526" s="192" t="s">
        <v>421</v>
      </c>
      <c r="G526" s="468" t="s">
        <v>760</v>
      </c>
      <c r="H526" s="7" t="s">
        <v>909</v>
      </c>
      <c r="I526" s="256"/>
      <c r="J526" s="256"/>
      <c r="K526" s="568">
        <v>489000</v>
      </c>
      <c r="L526" s="569" t="s">
        <v>253</v>
      </c>
      <c r="M526" s="569" t="s">
        <v>365</v>
      </c>
      <c r="N526" s="52" t="str">
        <f>IF(AND('331-CT'!$E$7=TH!H526,OR(L526="331",M526="331")),"331",IF(AND(OR(L526="131",M526="131"),H526='131-CT'!$E$7),"131",""))</f>
        <v/>
      </c>
      <c r="O526" s="89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15"/>
      <c r="AC526" s="560" t="str">
        <f>IF(VLOOKUP(H526,DS_131,1,0)&lt;&gt;"","","x")</f>
        <v/>
      </c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37"/>
        <v>11</v>
      </c>
      <c r="C527" s="184">
        <f t="shared" si="38"/>
        <v>41947</v>
      </c>
      <c r="D527" s="184" t="s">
        <v>932</v>
      </c>
      <c r="E527" s="191">
        <v>41947</v>
      </c>
      <c r="F527" s="192" t="s">
        <v>761</v>
      </c>
      <c r="G527" s="468" t="s">
        <v>762</v>
      </c>
      <c r="H527" s="210" t="s">
        <v>685</v>
      </c>
      <c r="I527" s="256">
        <v>224</v>
      </c>
      <c r="J527" s="256">
        <v>32500</v>
      </c>
      <c r="K527" s="568">
        <f>ROUND(I527*J527,0)</f>
        <v>7280000</v>
      </c>
      <c r="L527" s="569" t="s">
        <v>253</v>
      </c>
      <c r="M527" s="569" t="s">
        <v>177</v>
      </c>
      <c r="N527" s="52" t="str">
        <f>IF(AND('331-CT'!$E$7=TH!H527,OR(L527="331",M527="331")),"331",IF(AND(OR(L527="131",M527="131"),H527='131-CT'!$E$7),"131",""))</f>
        <v/>
      </c>
      <c r="O527" s="89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15"/>
      <c r="AC527" s="211" t="str">
        <f>IF(F527=VLOOKUP(F527,NXT!$C$12:$C$345,1,0),"","x")</f>
        <v/>
      </c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37"/>
        <v>11</v>
      </c>
      <c r="C528" s="184">
        <f t="shared" si="38"/>
        <v>41947</v>
      </c>
      <c r="D528" s="184" t="s">
        <v>932</v>
      </c>
      <c r="E528" s="191">
        <v>41947</v>
      </c>
      <c r="F528" s="192" t="s">
        <v>747</v>
      </c>
      <c r="G528" s="468" t="s">
        <v>762</v>
      </c>
      <c r="H528" s="7" t="s">
        <v>685</v>
      </c>
      <c r="I528" s="256">
        <v>448</v>
      </c>
      <c r="J528" s="256">
        <v>1440</v>
      </c>
      <c r="K528" s="568">
        <f>ROUND(I528*J528,0)</f>
        <v>645120</v>
      </c>
      <c r="L528" s="569" t="s">
        <v>253</v>
      </c>
      <c r="M528" s="569" t="s">
        <v>177</v>
      </c>
      <c r="N528" s="52" t="str">
        <f>IF(AND('331-CT'!$E$7=TH!H528,OR(L528="331",M528="331")),"331",IF(AND(OR(L528="131",M528="131"),H528='131-CT'!$E$7),"131",""))</f>
        <v/>
      </c>
      <c r="O528" s="89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15"/>
      <c r="AC528" s="211" t="str">
        <f>IF(F528=VLOOKUP(F528,NXT!$C$12:$C$345,1,0),"","x")</f>
        <v/>
      </c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37"/>
        <v>11</v>
      </c>
      <c r="C529" s="184">
        <f t="shared" si="38"/>
        <v>41947</v>
      </c>
      <c r="D529" s="184" t="s">
        <v>932</v>
      </c>
      <c r="E529" s="191">
        <v>41947</v>
      </c>
      <c r="F529" s="192" t="s">
        <v>421</v>
      </c>
      <c r="G529" s="468" t="s">
        <v>762</v>
      </c>
      <c r="H529" s="7" t="s">
        <v>685</v>
      </c>
      <c r="I529" s="257"/>
      <c r="J529" s="257"/>
      <c r="K529" s="568">
        <v>792512</v>
      </c>
      <c r="L529" s="569" t="s">
        <v>253</v>
      </c>
      <c r="M529" s="569" t="s">
        <v>365</v>
      </c>
      <c r="N529" s="52" t="str">
        <f>IF(AND('331-CT'!$E$7=TH!H529,OR(L529="331",M529="331")),"331",IF(AND(OR(L529="131",M529="131"),H529='131-CT'!$E$7),"131",""))</f>
        <v/>
      </c>
      <c r="O529" s="89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15"/>
      <c r="AC529" s="560" t="str">
        <f>IF(VLOOKUP(H529,DS_131,1,0)&lt;&gt;"","","x")</f>
        <v/>
      </c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37"/>
        <v>11</v>
      </c>
      <c r="C530" s="184">
        <f t="shared" si="38"/>
        <v>41947</v>
      </c>
      <c r="D530" s="184" t="s">
        <v>933</v>
      </c>
      <c r="E530" s="191">
        <v>41947</v>
      </c>
      <c r="F530" s="192" t="s">
        <v>467</v>
      </c>
      <c r="G530" s="468" t="s">
        <v>763</v>
      </c>
      <c r="H530" s="7" t="s">
        <v>910</v>
      </c>
      <c r="I530" s="256">
        <v>1529</v>
      </c>
      <c r="J530" s="256">
        <v>4650</v>
      </c>
      <c r="K530" s="568">
        <f>ROUND(I530*J530,0)</f>
        <v>7109850</v>
      </c>
      <c r="L530" s="569" t="s">
        <v>253</v>
      </c>
      <c r="M530" s="569" t="s">
        <v>177</v>
      </c>
      <c r="N530" s="52" t="str">
        <f>IF(AND('331-CT'!$E$7=TH!H530,OR(L530="331",M530="331")),"331",IF(AND(OR(L530="131",M530="131"),H530='131-CT'!$E$7),"131",""))</f>
        <v/>
      </c>
      <c r="O530" s="89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15"/>
      <c r="AC530" s="211" t="str">
        <f>IF(F530=VLOOKUP(F530,NXT!$C$12:$C$345,1,0),"","x")</f>
        <v/>
      </c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37"/>
        <v>11</v>
      </c>
      <c r="C531" s="184">
        <f t="shared" si="38"/>
        <v>41947</v>
      </c>
      <c r="D531" s="184" t="s">
        <v>933</v>
      </c>
      <c r="E531" s="191">
        <v>41947</v>
      </c>
      <c r="F531" s="192" t="s">
        <v>421</v>
      </c>
      <c r="G531" s="468" t="s">
        <v>763</v>
      </c>
      <c r="H531" s="7" t="s">
        <v>910</v>
      </c>
      <c r="I531" s="256"/>
      <c r="J531" s="256"/>
      <c r="K531" s="568">
        <v>710985</v>
      </c>
      <c r="L531" s="569" t="s">
        <v>253</v>
      </c>
      <c r="M531" s="569" t="s">
        <v>365</v>
      </c>
      <c r="N531" s="52" t="str">
        <f>IF(AND('331-CT'!$E$7=TH!H531,OR(L531="331",M531="331")),"331",IF(AND(OR(L531="131",M531="131"),H531='131-CT'!$E$7),"131",""))</f>
        <v/>
      </c>
      <c r="O531" s="89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15"/>
      <c r="AC531" s="560" t="str">
        <f>IF(VLOOKUP(H531,DS_131,1,0)&lt;&gt;"","","x")</f>
        <v/>
      </c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37"/>
        <v>11</v>
      </c>
      <c r="C532" s="184">
        <f t="shared" si="38"/>
        <v>41948</v>
      </c>
      <c r="D532" s="184" t="s">
        <v>934</v>
      </c>
      <c r="E532" s="191">
        <v>41948</v>
      </c>
      <c r="F532" s="40" t="s">
        <v>584</v>
      </c>
      <c r="G532" s="468" t="s">
        <v>764</v>
      </c>
      <c r="H532" s="7" t="s">
        <v>583</v>
      </c>
      <c r="I532" s="256">
        <v>11</v>
      </c>
      <c r="J532" s="256">
        <v>15000</v>
      </c>
      <c r="K532" s="568">
        <f t="shared" ref="K532:K540" si="39">ROUND(I532*J532,0)</f>
        <v>165000</v>
      </c>
      <c r="L532" s="569" t="s">
        <v>253</v>
      </c>
      <c r="M532" s="569" t="s">
        <v>177</v>
      </c>
      <c r="N532" s="52" t="str">
        <f>IF(AND('331-CT'!$E$7=TH!H532,OR(L532="331",M532="331")),"331",IF(AND(OR(L532="131",M532="131"),H532='131-CT'!$E$7),"131",""))</f>
        <v/>
      </c>
      <c r="O532" s="89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15"/>
      <c r="AC532" s="211" t="str">
        <f>IF(F532=VLOOKUP(F532,NXT!$C$12:$C$345,1,0),"","x")</f>
        <v/>
      </c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7"/>
        <v>11</v>
      </c>
      <c r="C533" s="184">
        <f t="shared" si="38"/>
        <v>41948</v>
      </c>
      <c r="D533" s="184" t="s">
        <v>934</v>
      </c>
      <c r="E533" s="191">
        <v>41948</v>
      </c>
      <c r="F533" s="192" t="s">
        <v>708</v>
      </c>
      <c r="G533" s="468" t="s">
        <v>764</v>
      </c>
      <c r="H533" s="7" t="s">
        <v>583</v>
      </c>
      <c r="I533" s="256">
        <v>126</v>
      </c>
      <c r="J533" s="256">
        <v>9550</v>
      </c>
      <c r="K533" s="568">
        <f t="shared" si="39"/>
        <v>1203300</v>
      </c>
      <c r="L533" s="569" t="s">
        <v>253</v>
      </c>
      <c r="M533" s="569" t="s">
        <v>177</v>
      </c>
      <c r="N533" s="52" t="str">
        <f>IF(AND('331-CT'!$E$7=TH!H533,OR(L533="331",M533="331")),"331",IF(AND(OR(L533="131",M533="131"),H533='131-CT'!$E$7),"131",""))</f>
        <v/>
      </c>
      <c r="O533" s="89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15"/>
      <c r="AC533" s="211" t="str">
        <f>IF(F533=VLOOKUP(F533,NXT!$C$12:$C$345,1,0),"","x")</f>
        <v/>
      </c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37"/>
        <v>11</v>
      </c>
      <c r="C534" s="184">
        <f t="shared" si="38"/>
        <v>41948</v>
      </c>
      <c r="D534" s="184" t="s">
        <v>934</v>
      </c>
      <c r="E534" s="191">
        <v>41948</v>
      </c>
      <c r="F534" s="192" t="s">
        <v>607</v>
      </c>
      <c r="G534" s="468" t="s">
        <v>764</v>
      </c>
      <c r="H534" s="7" t="s">
        <v>583</v>
      </c>
      <c r="I534" s="256">
        <v>150</v>
      </c>
      <c r="J534" s="256">
        <v>9050</v>
      </c>
      <c r="K534" s="568">
        <f t="shared" si="39"/>
        <v>1357500</v>
      </c>
      <c r="L534" s="569" t="s">
        <v>253</v>
      </c>
      <c r="M534" s="569" t="s">
        <v>177</v>
      </c>
      <c r="N534" s="52" t="str">
        <f>IF(AND('331-CT'!$E$7=TH!H534,OR(L534="331",M534="331")),"331",IF(AND(OR(L534="131",M534="131"),H534='131-CT'!$E$7),"131",""))</f>
        <v/>
      </c>
      <c r="O534" s="89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15"/>
      <c r="AC534" s="211" t="str">
        <f>IF(F534=VLOOKUP(F534,NXT!$C$12:$C$345,1,0),"","x")</f>
        <v/>
      </c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37"/>
        <v>11</v>
      </c>
      <c r="C535" s="184">
        <f t="shared" si="38"/>
        <v>41948</v>
      </c>
      <c r="D535" s="184" t="s">
        <v>934</v>
      </c>
      <c r="E535" s="191">
        <v>41948</v>
      </c>
      <c r="F535" s="192" t="s">
        <v>708</v>
      </c>
      <c r="G535" s="468" t="s">
        <v>764</v>
      </c>
      <c r="H535" s="7" t="s">
        <v>583</v>
      </c>
      <c r="I535" s="256">
        <v>221</v>
      </c>
      <c r="J535" s="256">
        <v>9550</v>
      </c>
      <c r="K535" s="568">
        <f t="shared" si="39"/>
        <v>2110550</v>
      </c>
      <c r="L535" s="569" t="s">
        <v>253</v>
      </c>
      <c r="M535" s="569" t="s">
        <v>177</v>
      </c>
      <c r="N535" s="52" t="str">
        <f>IF(AND('331-CT'!$E$7=TH!H535,OR(L535="331",M535="331")),"331",IF(AND(OR(L535="131",M535="131"),H535='131-CT'!$E$7),"131",""))</f>
        <v/>
      </c>
      <c r="O535" s="89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15"/>
      <c r="AC535" s="211" t="str">
        <f>IF(F535=VLOOKUP(F535,NXT!$C$12:$C$345,1,0),"","x")</f>
        <v/>
      </c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37"/>
        <v>11</v>
      </c>
      <c r="C536" s="184">
        <f t="shared" si="38"/>
        <v>41948</v>
      </c>
      <c r="D536" s="184" t="s">
        <v>934</v>
      </c>
      <c r="E536" s="191">
        <v>41948</v>
      </c>
      <c r="F536" s="40" t="s">
        <v>584</v>
      </c>
      <c r="G536" s="468" t="s">
        <v>764</v>
      </c>
      <c r="H536" s="193" t="s">
        <v>583</v>
      </c>
      <c r="I536" s="256">
        <v>25</v>
      </c>
      <c r="J536" s="256">
        <v>13920</v>
      </c>
      <c r="K536" s="568">
        <f t="shared" si="39"/>
        <v>348000</v>
      </c>
      <c r="L536" s="569" t="s">
        <v>253</v>
      </c>
      <c r="M536" s="569" t="s">
        <v>177</v>
      </c>
      <c r="N536" s="52" t="str">
        <f>IF(AND('331-CT'!$E$7=TH!H536,OR(L536="331",M536="331")),"331",IF(AND(OR(L536="131",M536="131"),H536='131-CT'!$E$7),"131",""))</f>
        <v/>
      </c>
      <c r="O536" s="89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15"/>
      <c r="AC536" s="211" t="str">
        <f>IF(F536=VLOOKUP(F536,NXT!$C$12:$C$345,1,0),"","x")</f>
        <v/>
      </c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37"/>
        <v>11</v>
      </c>
      <c r="C537" s="184">
        <f t="shared" si="38"/>
        <v>41948</v>
      </c>
      <c r="D537" s="184" t="s">
        <v>934</v>
      </c>
      <c r="E537" s="191">
        <v>41948</v>
      </c>
      <c r="F537" s="192" t="s">
        <v>609</v>
      </c>
      <c r="G537" s="468" t="s">
        <v>764</v>
      </c>
      <c r="H537" s="193" t="s">
        <v>583</v>
      </c>
      <c r="I537" s="256">
        <v>55</v>
      </c>
      <c r="J537" s="256">
        <v>12320</v>
      </c>
      <c r="K537" s="568">
        <f t="shared" si="39"/>
        <v>677600</v>
      </c>
      <c r="L537" s="569" t="s">
        <v>253</v>
      </c>
      <c r="M537" s="569" t="s">
        <v>177</v>
      </c>
      <c r="N537" s="52" t="str">
        <f>IF(AND('331-CT'!$E$7=TH!H537,OR(L537="331",M537="331")),"331",IF(AND(OR(L537="131",M537="131"),H537='131-CT'!$E$7),"131",""))</f>
        <v/>
      </c>
      <c r="O537" s="89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15"/>
      <c r="AC537" s="211" t="str">
        <f>IF(F537=VLOOKUP(F537,NXT!$C$12:$C$345,1,0),"","x")</f>
        <v/>
      </c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37"/>
        <v>11</v>
      </c>
      <c r="C538" s="184">
        <f t="shared" si="38"/>
        <v>41948</v>
      </c>
      <c r="D538" s="184" t="s">
        <v>934</v>
      </c>
      <c r="E538" s="191">
        <v>41948</v>
      </c>
      <c r="F538" s="192" t="s">
        <v>708</v>
      </c>
      <c r="G538" s="468" t="s">
        <v>764</v>
      </c>
      <c r="H538" s="193" t="s">
        <v>583</v>
      </c>
      <c r="I538" s="256">
        <v>70</v>
      </c>
      <c r="J538" s="256">
        <v>9500</v>
      </c>
      <c r="K538" s="568">
        <f t="shared" si="39"/>
        <v>665000</v>
      </c>
      <c r="L538" s="569" t="s">
        <v>253</v>
      </c>
      <c r="M538" s="569" t="s">
        <v>177</v>
      </c>
      <c r="N538" s="52" t="str">
        <f>IF(AND('331-CT'!$E$7=TH!H538,OR(L538="331",M538="331")),"331",IF(AND(OR(L538="131",M538="131"),H538='131-CT'!$E$7),"131",""))</f>
        <v/>
      </c>
      <c r="O538" s="89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15"/>
      <c r="AC538" s="211" t="str">
        <f>IF(F538=VLOOKUP(F538,NXT!$C$12:$C$345,1,0),"","x")</f>
        <v/>
      </c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37"/>
        <v>11</v>
      </c>
      <c r="C539" s="184">
        <f t="shared" si="38"/>
        <v>41948</v>
      </c>
      <c r="D539" s="184" t="s">
        <v>934</v>
      </c>
      <c r="E539" s="191">
        <v>41948</v>
      </c>
      <c r="F539" s="192" t="s">
        <v>709</v>
      </c>
      <c r="G539" s="468" t="s">
        <v>764</v>
      </c>
      <c r="H539" s="193" t="s">
        <v>583</v>
      </c>
      <c r="I539" s="256">
        <v>101</v>
      </c>
      <c r="J539" s="256">
        <v>8760</v>
      </c>
      <c r="K539" s="568">
        <f t="shared" si="39"/>
        <v>884760</v>
      </c>
      <c r="L539" s="569" t="s">
        <v>253</v>
      </c>
      <c r="M539" s="569" t="s">
        <v>177</v>
      </c>
      <c r="N539" s="52" t="str">
        <f>IF(AND('331-CT'!$E$7=TH!H539,OR(L539="331",M539="331")),"331",IF(AND(OR(L539="131",M539="131"),H539='131-CT'!$E$7),"131",""))</f>
        <v/>
      </c>
      <c r="O539" s="89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15"/>
      <c r="AC539" s="211" t="str">
        <f>IF(F539=VLOOKUP(F539,NXT!$C$12:$C$345,1,0),"","x")</f>
        <v/>
      </c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37"/>
        <v>11</v>
      </c>
      <c r="C540" s="184">
        <f t="shared" si="38"/>
        <v>41948</v>
      </c>
      <c r="D540" s="184" t="s">
        <v>934</v>
      </c>
      <c r="E540" s="191">
        <v>41948</v>
      </c>
      <c r="F540" s="189" t="s">
        <v>790</v>
      </c>
      <c r="G540" s="468" t="s">
        <v>764</v>
      </c>
      <c r="H540" s="193" t="s">
        <v>583</v>
      </c>
      <c r="I540" s="256">
        <v>3030</v>
      </c>
      <c r="J540" s="256">
        <v>7450</v>
      </c>
      <c r="K540" s="568">
        <f t="shared" si="39"/>
        <v>22573500</v>
      </c>
      <c r="L540" s="569" t="s">
        <v>253</v>
      </c>
      <c r="M540" s="569" t="s">
        <v>177</v>
      </c>
      <c r="N540" s="52" t="str">
        <f>IF(AND('331-CT'!$E$7=TH!H540,OR(L540="331",M540="331")),"331",IF(AND(OR(L540="131",M540="131"),H540='131-CT'!$E$7),"131",""))</f>
        <v/>
      </c>
      <c r="O540" s="89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15"/>
      <c r="AC540" s="211" t="str">
        <f>IF(F540=VLOOKUP(F540,NXT!$C$12:$C$345,1,0),"","x")</f>
        <v/>
      </c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37"/>
        <v>11</v>
      </c>
      <c r="C541" s="184">
        <f t="shared" si="38"/>
        <v>41948</v>
      </c>
      <c r="D541" s="184" t="s">
        <v>934</v>
      </c>
      <c r="E541" s="191">
        <v>41948</v>
      </c>
      <c r="F541" s="192" t="s">
        <v>421</v>
      </c>
      <c r="G541" s="468" t="s">
        <v>764</v>
      </c>
      <c r="H541" s="193" t="s">
        <v>583</v>
      </c>
      <c r="I541" s="256"/>
      <c r="J541" s="256"/>
      <c r="K541" s="568">
        <v>2998521</v>
      </c>
      <c r="L541" s="569" t="s">
        <v>253</v>
      </c>
      <c r="M541" s="569" t="s">
        <v>365</v>
      </c>
      <c r="N541" s="52" t="str">
        <f>IF(AND('331-CT'!$E$7=TH!H541,OR(L541="331",M541="331")),"331",IF(AND(OR(L541="131",M541="131"),H541='131-CT'!$E$7),"131",""))</f>
        <v/>
      </c>
      <c r="O541" s="89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15"/>
      <c r="AC541" s="560" t="str">
        <f>IF(VLOOKUP(H541,DS_131,1,0)&lt;&gt;"","","x")</f>
        <v/>
      </c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37"/>
        <v>11</v>
      </c>
      <c r="C542" s="184">
        <f t="shared" si="38"/>
        <v>41950</v>
      </c>
      <c r="D542" s="184" t="s">
        <v>935</v>
      </c>
      <c r="E542" s="191">
        <v>41950</v>
      </c>
      <c r="F542" s="192" t="s">
        <v>765</v>
      </c>
      <c r="G542" s="468" t="s">
        <v>766</v>
      </c>
      <c r="H542" s="7" t="s">
        <v>478</v>
      </c>
      <c r="I542" s="256">
        <v>100</v>
      </c>
      <c r="J542" s="256">
        <v>2000</v>
      </c>
      <c r="K542" s="568">
        <f>ROUND(I542*J542,0)</f>
        <v>200000</v>
      </c>
      <c r="L542" s="569" t="s">
        <v>253</v>
      </c>
      <c r="M542" s="569" t="s">
        <v>177</v>
      </c>
      <c r="N542" s="52" t="str">
        <f>IF(AND('331-CT'!$E$7=TH!H542,OR(L542="331",M542="331")),"331",IF(AND(OR(L542="131",M542="131"),H542='131-CT'!$E$7),"131",""))</f>
        <v/>
      </c>
      <c r="O542" s="89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15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37"/>
        <v>11</v>
      </c>
      <c r="C543" s="184">
        <f t="shared" si="38"/>
        <v>41950</v>
      </c>
      <c r="D543" s="184" t="s">
        <v>935</v>
      </c>
      <c r="E543" s="191">
        <v>41950</v>
      </c>
      <c r="F543" s="192" t="s">
        <v>767</v>
      </c>
      <c r="G543" s="468" t="s">
        <v>766</v>
      </c>
      <c r="H543" s="7" t="s">
        <v>478</v>
      </c>
      <c r="I543" s="256">
        <v>100</v>
      </c>
      <c r="J543" s="256">
        <v>20000</v>
      </c>
      <c r="K543" s="568">
        <f>ROUND(I543*J543,0)</f>
        <v>2000000</v>
      </c>
      <c r="L543" s="569" t="s">
        <v>253</v>
      </c>
      <c r="M543" s="569" t="s">
        <v>177</v>
      </c>
      <c r="N543" s="52" t="str">
        <f>IF(AND('331-CT'!$E$7=TH!H543,OR(L543="331",M543="331")),"331",IF(AND(OR(L543="131",M543="131"),H543='131-CT'!$E$7),"131",""))</f>
        <v/>
      </c>
      <c r="O543" s="89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15"/>
      <c r="AC543" s="211" t="str">
        <f>IF(F543=VLOOKUP(F543,NXT!$C$12:$C$345,1,0),"","x")</f>
        <v/>
      </c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37"/>
        <v>11</v>
      </c>
      <c r="C544" s="184">
        <f t="shared" si="38"/>
        <v>41950</v>
      </c>
      <c r="D544" s="184" t="s">
        <v>935</v>
      </c>
      <c r="E544" s="191">
        <v>41950</v>
      </c>
      <c r="F544" s="192" t="s">
        <v>768</v>
      </c>
      <c r="G544" s="468" t="s">
        <v>766</v>
      </c>
      <c r="H544" s="193" t="s">
        <v>478</v>
      </c>
      <c r="I544" s="256">
        <v>209</v>
      </c>
      <c r="J544" s="256">
        <v>11000</v>
      </c>
      <c r="K544" s="568">
        <f>ROUND(I544*J544,0)</f>
        <v>2299000</v>
      </c>
      <c r="L544" s="569" t="s">
        <v>253</v>
      </c>
      <c r="M544" s="569" t="s">
        <v>177</v>
      </c>
      <c r="N544" s="52" t="str">
        <f>IF(AND('331-CT'!$E$7=TH!H544,OR(L544="331",M544="331")),"331",IF(AND(OR(L544="131",M544="131"),H544='131-CT'!$E$7),"131",""))</f>
        <v/>
      </c>
      <c r="O544" s="89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15"/>
      <c r="AC544" s="211" t="str">
        <f>IF(F544=VLOOKUP(F544,NXT!$C$12:$C$345,1,0),"","x")</f>
        <v/>
      </c>
      <c r="AD544" s="560"/>
      <c r="AE544" s="560"/>
    </row>
    <row r="545" spans="1:31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37"/>
        <v>11</v>
      </c>
      <c r="C545" s="184">
        <f t="shared" si="38"/>
        <v>41950</v>
      </c>
      <c r="D545" s="184" t="s">
        <v>935</v>
      </c>
      <c r="E545" s="184">
        <v>41950</v>
      </c>
      <c r="F545" s="192" t="s">
        <v>421</v>
      </c>
      <c r="G545" s="570" t="s">
        <v>766</v>
      </c>
      <c r="H545" s="193" t="s">
        <v>478</v>
      </c>
      <c r="I545" s="256"/>
      <c r="J545" s="256"/>
      <c r="K545" s="568">
        <v>449900</v>
      </c>
      <c r="L545" s="569" t="s">
        <v>253</v>
      </c>
      <c r="M545" s="569" t="s">
        <v>365</v>
      </c>
      <c r="N545" s="52" t="str">
        <f>IF(AND('331-CT'!$E$7=TH!H545,OR(L545="331",M545="331")),"331",IF(AND(OR(L545="131",M545="131"),H545='131-CT'!$E$7),"131",""))</f>
        <v/>
      </c>
      <c r="O545" s="89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15"/>
      <c r="AC545" s="560" t="str">
        <f>IF(VLOOKUP(H545,DS_131,1,0)&lt;&gt;"","","x")</f>
        <v/>
      </c>
      <c r="AD545" s="560"/>
      <c r="AE545" s="560"/>
    </row>
    <row r="546" spans="1:31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37"/>
        <v>11</v>
      </c>
      <c r="C546" s="184">
        <f t="shared" si="38"/>
        <v>41950</v>
      </c>
      <c r="D546" s="184" t="s">
        <v>936</v>
      </c>
      <c r="E546" s="191">
        <v>41950</v>
      </c>
      <c r="F546" s="40" t="s">
        <v>594</v>
      </c>
      <c r="G546" s="468" t="s">
        <v>769</v>
      </c>
      <c r="H546" s="7" t="s">
        <v>473</v>
      </c>
      <c r="I546" s="256">
        <v>206</v>
      </c>
      <c r="J546" s="256">
        <v>19000</v>
      </c>
      <c r="K546" s="568">
        <f>ROUND(I546*J546,0)</f>
        <v>3914000</v>
      </c>
      <c r="L546" s="569" t="s">
        <v>253</v>
      </c>
      <c r="M546" s="569" t="s">
        <v>177</v>
      </c>
      <c r="N546" s="52" t="str">
        <f>IF(AND('331-CT'!$E$7=TH!H546,OR(L546="331",M546="331")),"331",IF(AND(OR(L546="131",M546="131"),H546='131-CT'!$E$7),"131",""))</f>
        <v/>
      </c>
      <c r="O546" s="89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15"/>
      <c r="AC546" s="211" t="str">
        <f>IF(F546=VLOOKUP(F546,NXT!$C$12:$C$345,1,0),"","x")</f>
        <v/>
      </c>
    </row>
    <row r="547" spans="1:31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37"/>
        <v>11</v>
      </c>
      <c r="C547" s="184">
        <f t="shared" si="38"/>
        <v>41950</v>
      </c>
      <c r="D547" s="184" t="s">
        <v>936</v>
      </c>
      <c r="E547" s="191">
        <v>41950</v>
      </c>
      <c r="F547" s="192" t="s">
        <v>421</v>
      </c>
      <c r="G547" s="468" t="s">
        <v>769</v>
      </c>
      <c r="H547" s="7" t="s">
        <v>473</v>
      </c>
      <c r="I547" s="256"/>
      <c r="J547" s="256"/>
      <c r="K547" s="568">
        <v>391400</v>
      </c>
      <c r="L547" s="569" t="s">
        <v>253</v>
      </c>
      <c r="M547" s="569" t="s">
        <v>365</v>
      </c>
      <c r="N547" s="52" t="str">
        <f>IF(AND('331-CT'!$E$7=TH!H547,OR(L547="331",M547="331")),"331",IF(AND(OR(L547="131",M547="131"),H547='131-CT'!$E$7),"131",""))</f>
        <v/>
      </c>
      <c r="O547" s="89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15"/>
      <c r="AC547" s="560" t="str">
        <f>IF(VLOOKUP(H547,DS_131,1,0)&lt;&gt;"","","x")</f>
        <v/>
      </c>
    </row>
    <row r="548" spans="1:31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37"/>
        <v>11</v>
      </c>
      <c r="C548" s="184">
        <f t="shared" si="38"/>
        <v>41955</v>
      </c>
      <c r="D548" s="184" t="s">
        <v>937</v>
      </c>
      <c r="E548" s="191">
        <v>41955</v>
      </c>
      <c r="F548" s="189" t="s">
        <v>437</v>
      </c>
      <c r="G548" s="468" t="s">
        <v>770</v>
      </c>
      <c r="H548" s="7" t="s">
        <v>439</v>
      </c>
      <c r="I548" s="256">
        <v>504</v>
      </c>
      <c r="J548" s="256">
        <v>10500</v>
      </c>
      <c r="K548" s="568">
        <f>ROUND(I548*J548,0)</f>
        <v>5292000</v>
      </c>
      <c r="L548" s="569" t="s">
        <v>253</v>
      </c>
      <c r="M548" s="569" t="s">
        <v>177</v>
      </c>
      <c r="N548" s="52" t="str">
        <f>IF(AND('331-CT'!$E$7=TH!H548,OR(L548="331",M548="331")),"331",IF(AND(OR(L548="131",M548="131"),H548='131-CT'!$E$7),"131",""))</f>
        <v/>
      </c>
      <c r="O548" s="89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15"/>
      <c r="AC548" s="211" t="str">
        <f>IF(F548=VLOOKUP(F548,NXT!$C$12:$C$345,1,0),"","x")</f>
        <v/>
      </c>
    </row>
    <row r="549" spans="1:31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37"/>
        <v>11</v>
      </c>
      <c r="C549" s="184">
        <f t="shared" si="38"/>
        <v>41955</v>
      </c>
      <c r="D549" s="184" t="s">
        <v>937</v>
      </c>
      <c r="E549" s="191">
        <v>41955</v>
      </c>
      <c r="F549" s="189" t="s">
        <v>437</v>
      </c>
      <c r="G549" s="468" t="s">
        <v>770</v>
      </c>
      <c r="H549" s="7" t="s">
        <v>439</v>
      </c>
      <c r="I549" s="257">
        <v>318</v>
      </c>
      <c r="J549" s="257">
        <v>10500</v>
      </c>
      <c r="K549" s="568">
        <f>ROUND(I549*J549,0)</f>
        <v>3339000</v>
      </c>
      <c r="L549" s="569" t="s">
        <v>253</v>
      </c>
      <c r="M549" s="569" t="s">
        <v>177</v>
      </c>
      <c r="N549" s="52" t="str">
        <f>IF(AND('331-CT'!$E$7=TH!H549,OR(L549="331",M549="331")),"331",IF(AND(OR(L549="131",M549="131"),H549='131-CT'!$E$7),"131",""))</f>
        <v/>
      </c>
      <c r="O549" s="89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15"/>
      <c r="AC549" s="211" t="str">
        <f>IF(F549=VLOOKUP(F549,NXT!$C$12:$C$345,1,0),"","x")</f>
        <v/>
      </c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37"/>
        <v>11</v>
      </c>
      <c r="C550" s="184">
        <f t="shared" si="38"/>
        <v>41955</v>
      </c>
      <c r="D550" s="184" t="s">
        <v>937</v>
      </c>
      <c r="E550" s="191">
        <v>41955</v>
      </c>
      <c r="F550" s="192" t="s">
        <v>421</v>
      </c>
      <c r="G550" s="468" t="s">
        <v>771</v>
      </c>
      <c r="H550" s="7" t="s">
        <v>439</v>
      </c>
      <c r="I550" s="256"/>
      <c r="J550" s="256"/>
      <c r="K550" s="568">
        <v>863100</v>
      </c>
      <c r="L550" s="569" t="s">
        <v>253</v>
      </c>
      <c r="M550" s="569" t="s">
        <v>365</v>
      </c>
      <c r="N550" s="52" t="str">
        <f>IF(AND('331-CT'!$E$7=TH!H550,OR(L550="331",M550="331")),"331",IF(AND(OR(L550="131",M550="131"),H550='131-CT'!$E$7),"131",""))</f>
        <v/>
      </c>
      <c r="O550" s="89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15"/>
      <c r="AC550" s="560" t="str">
        <f>IF(VLOOKUP(H550,DS_131,1,0)&lt;&gt;"","","x")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37"/>
        <v>11</v>
      </c>
      <c r="C551" s="184">
        <f t="shared" si="38"/>
        <v>41955</v>
      </c>
      <c r="D551" s="184" t="s">
        <v>938</v>
      </c>
      <c r="E551" s="191">
        <v>41955</v>
      </c>
      <c r="F551" s="783" t="s">
        <v>772</v>
      </c>
      <c r="G551" s="468" t="s">
        <v>771</v>
      </c>
      <c r="H551" s="7" t="s">
        <v>685</v>
      </c>
      <c r="I551" s="256">
        <v>347</v>
      </c>
      <c r="J551" s="256">
        <v>31500</v>
      </c>
      <c r="K551" s="568">
        <f>ROUND(I551*J551,0)</f>
        <v>10930500</v>
      </c>
      <c r="L551" s="569" t="s">
        <v>253</v>
      </c>
      <c r="M551" s="569" t="s">
        <v>177</v>
      </c>
      <c r="N551" s="52" t="str">
        <f>IF(AND('331-CT'!$E$7=TH!H551,OR(L551="331",M551="331")),"331",IF(AND(OR(L551="131",M551="131"),H551='131-CT'!$E$7),"131",""))</f>
        <v/>
      </c>
      <c r="O551" s="89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15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37"/>
        <v>11</v>
      </c>
      <c r="C552" s="184">
        <f t="shared" si="38"/>
        <v>41955</v>
      </c>
      <c r="D552" s="184" t="s">
        <v>938</v>
      </c>
      <c r="E552" s="191">
        <v>41955</v>
      </c>
      <c r="F552" s="40" t="s">
        <v>773</v>
      </c>
      <c r="G552" s="468" t="s">
        <v>771</v>
      </c>
      <c r="H552" s="7" t="s">
        <v>685</v>
      </c>
      <c r="I552" s="256">
        <v>593</v>
      </c>
      <c r="J552" s="256">
        <v>39900</v>
      </c>
      <c r="K552" s="568">
        <f>ROUND(I552*J552,0)</f>
        <v>23660700</v>
      </c>
      <c r="L552" s="569" t="s">
        <v>253</v>
      </c>
      <c r="M552" s="569" t="s">
        <v>177</v>
      </c>
      <c r="N552" s="52" t="str">
        <f>IF(AND('331-CT'!$E$7=TH!H552,OR(L552="331",M552="331")),"331",IF(AND(OR(L552="131",M552="131"),H552='131-CT'!$E$7),"131",""))</f>
        <v/>
      </c>
      <c r="O552" s="89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15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37"/>
        <v>11</v>
      </c>
      <c r="C553" s="184">
        <f t="shared" si="38"/>
        <v>41955</v>
      </c>
      <c r="D553" s="184" t="s">
        <v>938</v>
      </c>
      <c r="E553" s="191">
        <v>41955</v>
      </c>
      <c r="F553" s="192" t="s">
        <v>747</v>
      </c>
      <c r="G553" s="468" t="s">
        <v>771</v>
      </c>
      <c r="H553" s="7" t="s">
        <v>685</v>
      </c>
      <c r="I553" s="256">
        <v>1880</v>
      </c>
      <c r="J553" s="256">
        <v>1440</v>
      </c>
      <c r="K553" s="568">
        <f>ROUND(I553*J553,0)</f>
        <v>2707200</v>
      </c>
      <c r="L553" s="569" t="s">
        <v>253</v>
      </c>
      <c r="M553" s="569" t="s">
        <v>177</v>
      </c>
      <c r="N553" s="52" t="str">
        <f>IF(AND('331-CT'!$E$7=TH!H553,OR(L553="331",M553="331")),"331",IF(AND(OR(L553="131",M553="131"),H553='131-CT'!$E$7),"131",""))</f>
        <v/>
      </c>
      <c r="O553" s="89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15"/>
      <c r="AC553" s="211" t="str">
        <f>IF(F553=VLOOKUP(F553,NXT!$C$12:$C$345,1,0),"","x")</f>
        <v/>
      </c>
    </row>
    <row r="554" spans="1:31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37"/>
        <v>11</v>
      </c>
      <c r="C554" s="184">
        <f t="shared" si="38"/>
        <v>41955</v>
      </c>
      <c r="D554" s="184" t="s">
        <v>938</v>
      </c>
      <c r="E554" s="191">
        <v>41955</v>
      </c>
      <c r="F554" s="192" t="s">
        <v>421</v>
      </c>
      <c r="G554" s="468" t="s">
        <v>771</v>
      </c>
      <c r="H554" s="7" t="s">
        <v>685</v>
      </c>
      <c r="I554" s="256"/>
      <c r="J554" s="256"/>
      <c r="K554" s="568">
        <v>3729840</v>
      </c>
      <c r="L554" s="569" t="s">
        <v>253</v>
      </c>
      <c r="M554" s="569" t="s">
        <v>365</v>
      </c>
      <c r="N554" s="52" t="str">
        <f>IF(AND('331-CT'!$E$7=TH!H554,OR(L554="331",M554="331")),"331",IF(AND(OR(L554="131",M554="131"),H554='131-CT'!$E$7),"131",""))</f>
        <v/>
      </c>
      <c r="O554" s="89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15"/>
      <c r="AC554" s="560" t="str">
        <f>IF(VLOOKUP(H554,DS_131,1,0)&lt;&gt;"","","x")</f>
        <v/>
      </c>
    </row>
    <row r="555" spans="1:31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ref="B555:B614" si="40">IF(C555&lt;&gt;"",MONTH(C555),"")</f>
        <v>11</v>
      </c>
      <c r="C555" s="184">
        <f t="shared" ref="C555:C614" si="41">E555</f>
        <v>41956</v>
      </c>
      <c r="D555" s="184" t="s">
        <v>939</v>
      </c>
      <c r="E555" s="184">
        <v>41956</v>
      </c>
      <c r="F555" s="189" t="s">
        <v>671</v>
      </c>
      <c r="G555" s="570" t="s">
        <v>774</v>
      </c>
      <c r="H555" s="193" t="s">
        <v>673</v>
      </c>
      <c r="I555" s="256">
        <v>1010</v>
      </c>
      <c r="J555" s="256">
        <v>9500</v>
      </c>
      <c r="K555" s="568">
        <f>ROUND(I555*J555,0)</f>
        <v>9595000</v>
      </c>
      <c r="L555" s="569" t="s">
        <v>253</v>
      </c>
      <c r="M555" s="569" t="s">
        <v>177</v>
      </c>
      <c r="N555" s="52" t="str">
        <f>IF(AND('331-CT'!$E$7=TH!H555,OR(L555="331",M555="331")),"331",IF(AND(OR(L555="131",M555="131"),H555='131-CT'!$E$7),"131",""))</f>
        <v/>
      </c>
      <c r="O555" s="89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15"/>
      <c r="AC555" s="211" t="str">
        <f>IF(F555=VLOOKUP(F555,NXT!$C$12:$C$345,1,0),"","x")</f>
        <v/>
      </c>
      <c r="AD555" s="560"/>
      <c r="AE555" s="560"/>
    </row>
    <row r="556" spans="1:31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0"/>
        <v>11</v>
      </c>
      <c r="C556" s="184">
        <f t="shared" si="41"/>
        <v>41956</v>
      </c>
      <c r="D556" s="184" t="s">
        <v>939</v>
      </c>
      <c r="E556" s="191">
        <v>41956</v>
      </c>
      <c r="F556" s="192" t="s">
        <v>421</v>
      </c>
      <c r="G556" s="468" t="s">
        <v>774</v>
      </c>
      <c r="H556" s="7" t="s">
        <v>673</v>
      </c>
      <c r="I556" s="257"/>
      <c r="J556" s="257"/>
      <c r="K556" s="568">
        <v>959500</v>
      </c>
      <c r="L556" s="569" t="s">
        <v>253</v>
      </c>
      <c r="M556" s="569" t="s">
        <v>365</v>
      </c>
      <c r="N556" s="52" t="str">
        <f>IF(AND('331-CT'!$E$7=TH!H556,OR(L556="331",M556="331")),"331",IF(AND(OR(L556="131",M556="131"),H556='131-CT'!$E$7),"131",""))</f>
        <v/>
      </c>
      <c r="O556" s="89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15"/>
      <c r="AC556" s="560" t="str">
        <f>IF(VLOOKUP(H556,DS_131,1,0)&lt;&gt;"","","x")</f>
        <v/>
      </c>
      <c r="AD556" s="560"/>
      <c r="AE556" s="560"/>
    </row>
    <row r="557" spans="1:31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0"/>
        <v>11</v>
      </c>
      <c r="C557" s="184">
        <f t="shared" si="41"/>
        <v>41958</v>
      </c>
      <c r="D557" s="184" t="s">
        <v>940</v>
      </c>
      <c r="E557" s="191">
        <v>41958</v>
      </c>
      <c r="F557" s="763" t="s">
        <v>516</v>
      </c>
      <c r="G557" s="468" t="s">
        <v>775</v>
      </c>
      <c r="H557" s="7" t="s">
        <v>910</v>
      </c>
      <c r="I557" s="256">
        <v>1012</v>
      </c>
      <c r="J557" s="256">
        <v>12000</v>
      </c>
      <c r="K557" s="568">
        <f>ROUND(I557*J557,0)</f>
        <v>12144000</v>
      </c>
      <c r="L557" s="569" t="s">
        <v>253</v>
      </c>
      <c r="M557" s="569" t="s">
        <v>177</v>
      </c>
      <c r="N557" s="52" t="str">
        <f>IF(AND('331-CT'!$E$7=TH!H557,OR(L557="331",M557="331")),"331",IF(AND(OR(L557="131",M557="131"),H557='131-CT'!$E$7),"131",""))</f>
        <v/>
      </c>
      <c r="O557" s="89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15"/>
      <c r="AC557" s="211" t="str">
        <f>IF(F557=VLOOKUP(F557,NXT!$C$12:$C$345,1,0),"","x")</f>
        <v/>
      </c>
      <c r="AE557" s="560"/>
    </row>
    <row r="558" spans="1:31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0"/>
        <v>11</v>
      </c>
      <c r="C558" s="184">
        <f t="shared" si="41"/>
        <v>41958</v>
      </c>
      <c r="D558" s="184" t="s">
        <v>940</v>
      </c>
      <c r="E558" s="184">
        <v>41958</v>
      </c>
      <c r="F558" s="192" t="s">
        <v>421</v>
      </c>
      <c r="G558" s="570" t="s">
        <v>775</v>
      </c>
      <c r="H558" s="7" t="s">
        <v>910</v>
      </c>
      <c r="I558" s="256"/>
      <c r="J558" s="256"/>
      <c r="K558" s="568">
        <v>1214400</v>
      </c>
      <c r="L558" s="569" t="s">
        <v>253</v>
      </c>
      <c r="M558" s="569" t="s">
        <v>365</v>
      </c>
      <c r="N558" s="52" t="str">
        <f>IF(AND('331-CT'!$E$7=TH!H558,OR(L558="331",M558="331")),"331",IF(AND(OR(L558="131",M558="131"),H558='131-CT'!$E$7),"131",""))</f>
        <v/>
      </c>
      <c r="O558" s="89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15"/>
      <c r="AC558" s="560" t="str">
        <f>IF(VLOOKUP(H558,DS_131,1,0)&lt;&gt;"","","x")</f>
        <v/>
      </c>
      <c r="AD558" s="560"/>
      <c r="AE558" s="560"/>
    </row>
    <row r="559" spans="1:31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0"/>
        <v>11</v>
      </c>
      <c r="C559" s="184">
        <f t="shared" si="41"/>
        <v>41960</v>
      </c>
      <c r="D559" s="184" t="s">
        <v>941</v>
      </c>
      <c r="E559" s="184">
        <v>41960</v>
      </c>
      <c r="F559" s="189" t="s">
        <v>776</v>
      </c>
      <c r="G559" s="570" t="s">
        <v>777</v>
      </c>
      <c r="H559" s="7" t="s">
        <v>778</v>
      </c>
      <c r="I559" s="256">
        <v>1990</v>
      </c>
      <c r="J559" s="256">
        <v>6100</v>
      </c>
      <c r="K559" s="568">
        <f>ROUND(I559*J559,0)</f>
        <v>12139000</v>
      </c>
      <c r="L559" s="569" t="s">
        <v>253</v>
      </c>
      <c r="M559" s="569" t="s">
        <v>177</v>
      </c>
      <c r="N559" s="52" t="str">
        <f>IF(AND('331-CT'!$E$7=TH!H559,OR(L559="331",M559="331")),"331",IF(AND(OR(L559="131",M559="131"),H559='131-CT'!$E$7),"131",""))</f>
        <v/>
      </c>
      <c r="O559" s="89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15"/>
      <c r="AC559" s="211" t="str">
        <f>IF(F559=VLOOKUP(F559,NXT!$C$12:$C$345,1,0),"","x")</f>
        <v/>
      </c>
      <c r="AD559" s="560"/>
      <c r="AE559" s="560"/>
    </row>
    <row r="560" spans="1:31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0"/>
        <v>11</v>
      </c>
      <c r="C560" s="184">
        <f t="shared" si="41"/>
        <v>41960</v>
      </c>
      <c r="D560" s="184" t="s">
        <v>941</v>
      </c>
      <c r="E560" s="191">
        <v>41960</v>
      </c>
      <c r="F560" s="192" t="s">
        <v>421</v>
      </c>
      <c r="G560" s="468" t="s">
        <v>777</v>
      </c>
      <c r="H560" s="7" t="s">
        <v>778</v>
      </c>
      <c r="I560" s="257"/>
      <c r="J560" s="257"/>
      <c r="K560" s="568">
        <v>1213900</v>
      </c>
      <c r="L560" s="569" t="s">
        <v>253</v>
      </c>
      <c r="M560" s="569" t="s">
        <v>365</v>
      </c>
      <c r="N560" s="52" t="str">
        <f>IF(AND('331-CT'!$E$7=TH!H560,OR(L560="331",M560="331")),"331",IF(AND(OR(L560="131",M560="131"),H560='131-CT'!$E$7),"131",""))</f>
        <v/>
      </c>
      <c r="O560" s="89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15"/>
      <c r="AC560" s="560" t="str">
        <f>IF(VLOOKUP(H560,DS_131,1,0)&lt;&gt;"","","x")</f>
        <v/>
      </c>
      <c r="AD560" s="560"/>
      <c r="AE560" s="560"/>
    </row>
    <row r="561" spans="1:31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0"/>
        <v>11</v>
      </c>
      <c r="C561" s="184">
        <f t="shared" si="41"/>
        <v>41962</v>
      </c>
      <c r="D561" s="184" t="s">
        <v>942</v>
      </c>
      <c r="E561" s="191">
        <v>41962</v>
      </c>
      <c r="F561" s="189" t="s">
        <v>504</v>
      </c>
      <c r="G561" s="468" t="s">
        <v>779</v>
      </c>
      <c r="H561" s="7" t="s">
        <v>503</v>
      </c>
      <c r="I561" s="257">
        <v>609</v>
      </c>
      <c r="J561" s="257">
        <v>6250</v>
      </c>
      <c r="K561" s="568">
        <f>ROUND(I561*J561,0)</f>
        <v>3806250</v>
      </c>
      <c r="L561" s="569" t="s">
        <v>253</v>
      </c>
      <c r="M561" s="569" t="s">
        <v>177</v>
      </c>
      <c r="N561" s="52" t="str">
        <f>IF(AND('331-CT'!$E$7=TH!H561,OR(L561="331",M561="331")),"331",IF(AND(OR(L561="131",M561="131"),H561='131-CT'!$E$7),"131",""))</f>
        <v/>
      </c>
      <c r="O561" s="89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15"/>
      <c r="AC561" s="211" t="str">
        <f>IF(F561=VLOOKUP(F561,NXT!$C$12:$C$345,1,0),"","x")</f>
        <v/>
      </c>
      <c r="AD561" s="560"/>
      <c r="AE561" s="560"/>
    </row>
    <row r="562" spans="1:31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0"/>
        <v>11</v>
      </c>
      <c r="C562" s="184">
        <f t="shared" si="41"/>
        <v>41962</v>
      </c>
      <c r="D562" s="184" t="s">
        <v>942</v>
      </c>
      <c r="E562" s="191">
        <v>41962</v>
      </c>
      <c r="F562" s="189" t="s">
        <v>505</v>
      </c>
      <c r="G562" s="468" t="s">
        <v>779</v>
      </c>
      <c r="H562" s="7" t="s">
        <v>503</v>
      </c>
      <c r="I562" s="257">
        <v>213</v>
      </c>
      <c r="J562" s="257">
        <v>6550</v>
      </c>
      <c r="K562" s="568">
        <f>ROUND(I562*J562,0)</f>
        <v>1395150</v>
      </c>
      <c r="L562" s="569" t="s">
        <v>253</v>
      </c>
      <c r="M562" s="569" t="s">
        <v>177</v>
      </c>
      <c r="N562" s="52" t="str">
        <f>IF(AND('331-CT'!$E$7=TH!H562,OR(L562="331",M562="331")),"331",IF(AND(OR(L562="131",M562="131"),H562='131-CT'!$E$7),"131",""))</f>
        <v/>
      </c>
      <c r="O562" s="89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15"/>
      <c r="AC562" s="211" t="str">
        <f>IF(F562=VLOOKUP(F562,NXT!$C$12:$C$345,1,0),"","x")</f>
        <v/>
      </c>
      <c r="AD562" s="560"/>
      <c r="AE562" s="560"/>
    </row>
    <row r="563" spans="1:31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0"/>
        <v>11</v>
      </c>
      <c r="C563" s="184">
        <f t="shared" si="41"/>
        <v>41962</v>
      </c>
      <c r="D563" s="184" t="s">
        <v>942</v>
      </c>
      <c r="E563" s="191">
        <v>41962</v>
      </c>
      <c r="F563" s="189" t="s">
        <v>780</v>
      </c>
      <c r="G563" s="468" t="s">
        <v>779</v>
      </c>
      <c r="H563" s="7" t="s">
        <v>503</v>
      </c>
      <c r="I563" s="257">
        <v>796</v>
      </c>
      <c r="J563" s="257">
        <v>5900</v>
      </c>
      <c r="K563" s="568">
        <f>ROUND(I563*J563,0)</f>
        <v>4696400</v>
      </c>
      <c r="L563" s="569" t="s">
        <v>253</v>
      </c>
      <c r="M563" s="569" t="s">
        <v>177</v>
      </c>
      <c r="N563" s="52" t="str">
        <f>IF(AND('331-CT'!$E$7=TH!H563,OR(L563="331",M563="331")),"331",IF(AND(OR(L563="131",M563="131"),H563='131-CT'!$E$7),"131",""))</f>
        <v/>
      </c>
      <c r="O563" s="89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15"/>
      <c r="AC563" s="211" t="str">
        <f>IF(F563=VLOOKUP(F563,NXT!$C$12:$C$345,1,0),"","x")</f>
        <v/>
      </c>
      <c r="AD563" s="560"/>
      <c r="AE563" s="560"/>
    </row>
    <row r="564" spans="1:31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0"/>
        <v>11</v>
      </c>
      <c r="C564" s="184">
        <f t="shared" si="41"/>
        <v>41962</v>
      </c>
      <c r="D564" s="184" t="s">
        <v>942</v>
      </c>
      <c r="E564" s="191">
        <v>41962</v>
      </c>
      <c r="F564" s="189" t="s">
        <v>406</v>
      </c>
      <c r="G564" s="468" t="s">
        <v>779</v>
      </c>
      <c r="H564" s="7" t="s">
        <v>503</v>
      </c>
      <c r="I564" s="257">
        <v>402</v>
      </c>
      <c r="J564" s="257">
        <v>6800</v>
      </c>
      <c r="K564" s="568">
        <f>ROUND(I564*J564,0)</f>
        <v>2733600</v>
      </c>
      <c r="L564" s="569" t="s">
        <v>253</v>
      </c>
      <c r="M564" s="569" t="s">
        <v>177</v>
      </c>
      <c r="N564" s="52" t="str">
        <f>IF(AND('331-CT'!$E$7=TH!H564,OR(L564="331",M564="331")),"331",IF(AND(OR(L564="131",M564="131"),H564='131-CT'!$E$7),"131",""))</f>
        <v/>
      </c>
      <c r="O564" s="89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15"/>
      <c r="AC564" s="211" t="str">
        <f>IF(F564=VLOOKUP(F564,NXT!$C$12:$C$345,1,0),"","x")</f>
        <v/>
      </c>
      <c r="AD564" s="560"/>
      <c r="AE564" s="560"/>
    </row>
    <row r="565" spans="1:31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0"/>
        <v>11</v>
      </c>
      <c r="C565" s="184">
        <f t="shared" si="41"/>
        <v>41962</v>
      </c>
      <c r="D565" s="184" t="s">
        <v>942</v>
      </c>
      <c r="E565" s="191">
        <v>41962</v>
      </c>
      <c r="F565" s="192" t="s">
        <v>421</v>
      </c>
      <c r="G565" s="468" t="s">
        <v>779</v>
      </c>
      <c r="H565" s="7" t="s">
        <v>503</v>
      </c>
      <c r="I565" s="257"/>
      <c r="J565" s="257"/>
      <c r="K565" s="38">
        <v>1263140</v>
      </c>
      <c r="L565" s="569" t="s">
        <v>253</v>
      </c>
      <c r="M565" s="569" t="s">
        <v>365</v>
      </c>
      <c r="N565" s="52" t="str">
        <f>IF(AND('331-CT'!$E$7=TH!H565,OR(L565="331",M565="331")),"331",IF(AND(OR(L565="131",M565="131"),H565='131-CT'!$E$7),"131",""))</f>
        <v/>
      </c>
      <c r="O565" s="89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15"/>
      <c r="AC565" s="560" t="str">
        <f>IF(VLOOKUP(H565,DS_131,1,0)&lt;&gt;"","","x")</f>
        <v/>
      </c>
      <c r="AD565" s="560"/>
      <c r="AE565" s="560"/>
    </row>
    <row r="566" spans="1:31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0"/>
        <v>11</v>
      </c>
      <c r="C566" s="184">
        <f t="shared" si="41"/>
        <v>41962</v>
      </c>
      <c r="D566" s="184" t="s">
        <v>943</v>
      </c>
      <c r="E566" s="191">
        <v>41962</v>
      </c>
      <c r="F566" s="189" t="s">
        <v>781</v>
      </c>
      <c r="G566" s="468" t="s">
        <v>782</v>
      </c>
      <c r="H566" s="7" t="s">
        <v>783</v>
      </c>
      <c r="I566" s="256">
        <v>975</v>
      </c>
      <c r="J566" s="256">
        <v>5130</v>
      </c>
      <c r="K566" s="568">
        <f t="shared" ref="K566:K569" si="42">ROUND(I566*J566,0)</f>
        <v>5001750</v>
      </c>
      <c r="L566" s="569" t="s">
        <v>253</v>
      </c>
      <c r="M566" s="569" t="s">
        <v>177</v>
      </c>
      <c r="N566" s="52" t="str">
        <f>IF(AND('331-CT'!$E$7=TH!H566,OR(L566="331",M566="331")),"331",IF(AND(OR(L566="131",M566="131"),H566='131-CT'!$E$7),"131",""))</f>
        <v/>
      </c>
      <c r="O566" s="89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15"/>
      <c r="AC566" s="211" t="str">
        <f>IF(F566=VLOOKUP(F566,NXT!$C$12:$C$345,1,0),"","x")</f>
        <v/>
      </c>
      <c r="AD566" s="560"/>
      <c r="AE566" s="560"/>
    </row>
    <row r="567" spans="1:31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0"/>
        <v>11</v>
      </c>
      <c r="C567" s="184">
        <f t="shared" si="41"/>
        <v>41962</v>
      </c>
      <c r="D567" s="184" t="s">
        <v>943</v>
      </c>
      <c r="E567" s="191">
        <v>41962</v>
      </c>
      <c r="F567" s="189" t="s">
        <v>1267</v>
      </c>
      <c r="G567" s="468" t="s">
        <v>782</v>
      </c>
      <c r="H567" s="7" t="s">
        <v>783</v>
      </c>
      <c r="I567" s="256">
        <v>1000</v>
      </c>
      <c r="J567" s="256">
        <v>2798</v>
      </c>
      <c r="K567" s="568">
        <f t="shared" si="42"/>
        <v>2798000</v>
      </c>
      <c r="L567" s="569" t="s">
        <v>253</v>
      </c>
      <c r="M567" s="569" t="s">
        <v>177</v>
      </c>
      <c r="N567" s="52" t="str">
        <f>IF(AND('331-CT'!$E$7=TH!H567,OR(L567="331",M567="331")),"331",IF(AND(OR(L567="131",M567="131"),H567='131-CT'!$E$7),"131",""))</f>
        <v/>
      </c>
      <c r="O567" s="89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15"/>
      <c r="AC567" s="211" t="e">
        <f>IF(F567=VLOOKUP(F567,NXT!$C$12:$C$345,1,0),"","x")</f>
        <v>#N/A</v>
      </c>
      <c r="AD567" s="560"/>
      <c r="AE567" s="560"/>
    </row>
    <row r="568" spans="1:31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0"/>
        <v>11</v>
      </c>
      <c r="C568" s="184">
        <f t="shared" si="41"/>
        <v>41962</v>
      </c>
      <c r="D568" s="184" t="s">
        <v>943</v>
      </c>
      <c r="E568" s="191">
        <v>41962</v>
      </c>
      <c r="F568" s="189" t="s">
        <v>786</v>
      </c>
      <c r="G568" s="468" t="s">
        <v>782</v>
      </c>
      <c r="H568" s="7" t="s">
        <v>783</v>
      </c>
      <c r="I568" s="256">
        <v>978</v>
      </c>
      <c r="J568" s="256">
        <v>4230</v>
      </c>
      <c r="K568" s="568">
        <f t="shared" si="42"/>
        <v>4136940</v>
      </c>
      <c r="L568" s="569" t="s">
        <v>253</v>
      </c>
      <c r="M568" s="569" t="s">
        <v>177</v>
      </c>
      <c r="N568" s="52" t="str">
        <f>IF(AND('331-CT'!$E$7=TH!H568,OR(L568="331",M568="331")),"331",IF(AND(OR(L568="131",M568="131"),H568='131-CT'!$E$7),"131",""))</f>
        <v/>
      </c>
      <c r="O568" s="89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15"/>
      <c r="AC568" s="211" t="str">
        <f>IF(F568=VLOOKUP(F568,NXT!$C$12:$C$345,1,0),"","x")</f>
        <v/>
      </c>
      <c r="AD568" s="560"/>
      <c r="AE568" s="560"/>
    </row>
    <row r="569" spans="1:31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0"/>
        <v>11</v>
      </c>
      <c r="C569" s="184">
        <f t="shared" si="41"/>
        <v>41962</v>
      </c>
      <c r="D569" s="184" t="s">
        <v>943</v>
      </c>
      <c r="E569" s="191">
        <v>41962</v>
      </c>
      <c r="F569" s="189" t="s">
        <v>1267</v>
      </c>
      <c r="G569" s="468" t="s">
        <v>782</v>
      </c>
      <c r="H569" s="7" t="s">
        <v>783</v>
      </c>
      <c r="I569" s="256">
        <v>1000</v>
      </c>
      <c r="J569" s="256">
        <v>1568</v>
      </c>
      <c r="K569" s="568">
        <f t="shared" si="42"/>
        <v>1568000</v>
      </c>
      <c r="L569" s="569" t="s">
        <v>253</v>
      </c>
      <c r="M569" s="569" t="s">
        <v>177</v>
      </c>
      <c r="N569" s="52" t="str">
        <f>IF(AND('331-CT'!$E$7=TH!H569,OR(L569="331",M569="331")),"331",IF(AND(OR(L569="131",M569="131"),H569='131-CT'!$E$7),"131",""))</f>
        <v/>
      </c>
      <c r="O569" s="89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15"/>
      <c r="AC569" s="211" t="e">
        <f>IF(F569=VLOOKUP(F569,NXT!$C$12:$C$345,1,0),"","x")</f>
        <v>#N/A</v>
      </c>
      <c r="AE569" s="560"/>
    </row>
    <row r="570" spans="1:31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0"/>
        <v>11</v>
      </c>
      <c r="C570" s="184">
        <f t="shared" si="41"/>
        <v>41962</v>
      </c>
      <c r="D570" s="184" t="s">
        <v>943</v>
      </c>
      <c r="E570" s="191">
        <v>41962</v>
      </c>
      <c r="F570" s="192" t="s">
        <v>421</v>
      </c>
      <c r="G570" s="468" t="s">
        <v>782</v>
      </c>
      <c r="H570" s="7" t="s">
        <v>783</v>
      </c>
      <c r="I570" s="256"/>
      <c r="J570" s="256"/>
      <c r="K570" s="568">
        <v>1350469</v>
      </c>
      <c r="L570" s="569" t="s">
        <v>253</v>
      </c>
      <c r="M570" s="569" t="s">
        <v>365</v>
      </c>
      <c r="N570" s="52" t="str">
        <f>IF(AND('331-CT'!$E$7=TH!H570,OR(L570="331",M570="331")),"331",IF(AND(OR(L570="131",M570="131"),H570='131-CT'!$E$7),"131",""))</f>
        <v/>
      </c>
      <c r="O570" s="89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15"/>
      <c r="AC570" s="560" t="str">
        <f>IF(VLOOKUP(H570,DS_131,1,0)&lt;&gt;"","","x")</f>
        <v/>
      </c>
      <c r="AE570" s="560"/>
    </row>
    <row r="571" spans="1:31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0"/>
        <v>11</v>
      </c>
      <c r="C571" s="184">
        <f t="shared" si="41"/>
        <v>41963</v>
      </c>
      <c r="D571" s="184" t="s">
        <v>944</v>
      </c>
      <c r="E571" s="191">
        <v>41963</v>
      </c>
      <c r="F571" s="189" t="s">
        <v>460</v>
      </c>
      <c r="G571" s="468" t="s">
        <v>789</v>
      </c>
      <c r="H571" s="7" t="s">
        <v>462</v>
      </c>
      <c r="I571" s="256">
        <v>993</v>
      </c>
      <c r="J571" s="256">
        <v>8740</v>
      </c>
      <c r="K571" s="568">
        <f>ROUND(I571*J571,0)</f>
        <v>8678820</v>
      </c>
      <c r="L571" s="569" t="s">
        <v>253</v>
      </c>
      <c r="M571" s="569" t="s">
        <v>177</v>
      </c>
      <c r="N571" s="52" t="str">
        <f>IF(AND('331-CT'!$E$7=TH!H571,OR(L571="331",M571="331")),"331",IF(AND(OR(L571="131",M571="131"),H571='131-CT'!$E$7),"131",""))</f>
        <v/>
      </c>
      <c r="O571" s="89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15"/>
      <c r="AC571" s="211" t="str">
        <f>IF(F571=VLOOKUP(F571,NXT!$C$12:$C$345,1,0),"","x")</f>
        <v/>
      </c>
      <c r="AD571" s="560"/>
      <c r="AE571" s="560"/>
    </row>
    <row r="572" spans="1:31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0"/>
        <v>11</v>
      </c>
      <c r="C572" s="184">
        <f t="shared" si="41"/>
        <v>41963</v>
      </c>
      <c r="D572" s="184" t="s">
        <v>944</v>
      </c>
      <c r="E572" s="191">
        <v>41963</v>
      </c>
      <c r="F572" s="192" t="s">
        <v>421</v>
      </c>
      <c r="G572" s="468" t="s">
        <v>789</v>
      </c>
      <c r="H572" s="7" t="s">
        <v>462</v>
      </c>
      <c r="I572" s="256"/>
      <c r="J572" s="256"/>
      <c r="K572" s="38">
        <v>867882</v>
      </c>
      <c r="L572" s="569" t="s">
        <v>253</v>
      </c>
      <c r="M572" s="569" t="s">
        <v>365</v>
      </c>
      <c r="N572" s="52" t="str">
        <f>IF(AND('331-CT'!$E$7=TH!H572,OR(L572="331",M572="331")),"331",IF(AND(OR(L572="131",M572="131"),H572='131-CT'!$E$7),"131",""))</f>
        <v/>
      </c>
      <c r="O572" s="89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15"/>
      <c r="AC572" s="560" t="str">
        <f>IF(VLOOKUP(H572,DS_131,1,0)&lt;&gt;"","","x")</f>
        <v/>
      </c>
      <c r="AD572" s="560"/>
      <c r="AE572" s="560"/>
    </row>
    <row r="573" spans="1:31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40"/>
        <v>11</v>
      </c>
      <c r="C573" s="184">
        <f t="shared" si="41"/>
        <v>41963</v>
      </c>
      <c r="D573" s="184" t="s">
        <v>945</v>
      </c>
      <c r="E573" s="184">
        <v>41963</v>
      </c>
      <c r="F573" s="189" t="s">
        <v>790</v>
      </c>
      <c r="G573" s="570" t="s">
        <v>791</v>
      </c>
      <c r="H573" s="193" t="s">
        <v>583</v>
      </c>
      <c r="I573" s="256">
        <v>3030</v>
      </c>
      <c r="J573" s="256">
        <v>7450</v>
      </c>
      <c r="K573" s="568">
        <f>ROUND(I573*J573,0)</f>
        <v>22573500</v>
      </c>
      <c r="L573" s="569" t="s">
        <v>253</v>
      </c>
      <c r="M573" s="569" t="s">
        <v>177</v>
      </c>
      <c r="N573" s="52" t="str">
        <f>IF(AND('331-CT'!$E$7=TH!H573,OR(L573="331",M573="331")),"331",IF(AND(OR(L573="131",M573="131"),H573='131-CT'!$E$7),"131",""))</f>
        <v/>
      </c>
      <c r="O573" s="89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15"/>
      <c r="AC573" s="211" t="str">
        <f>IF(F573=VLOOKUP(F573,NXT!$C$12:$C$345,1,0),"","x")</f>
        <v/>
      </c>
      <c r="AD573" s="560"/>
      <c r="AE573" s="560"/>
    </row>
    <row r="574" spans="1:31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40"/>
        <v>11</v>
      </c>
      <c r="C574" s="184">
        <f t="shared" si="41"/>
        <v>41963</v>
      </c>
      <c r="D574" s="184" t="s">
        <v>945</v>
      </c>
      <c r="E574" s="191">
        <v>41963</v>
      </c>
      <c r="F574" s="192" t="s">
        <v>790</v>
      </c>
      <c r="G574" s="468" t="s">
        <v>791</v>
      </c>
      <c r="H574" s="193" t="s">
        <v>583</v>
      </c>
      <c r="I574" s="256">
        <v>219</v>
      </c>
      <c r="J574" s="256">
        <v>7450</v>
      </c>
      <c r="K574" s="568">
        <f>ROUND(I574*J574,0)</f>
        <v>1631550</v>
      </c>
      <c r="L574" s="569" t="s">
        <v>253</v>
      </c>
      <c r="M574" s="569" t="s">
        <v>177</v>
      </c>
      <c r="N574" s="52" t="str">
        <f>IF(AND('331-CT'!$E$7=TH!H574,OR(L574="331",M574="331")),"331",IF(AND(OR(L574="131",M574="131"),H574='131-CT'!$E$7),"131",""))</f>
        <v/>
      </c>
      <c r="O574" s="89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15"/>
      <c r="AC574" s="211" t="str">
        <f>IF(F574=VLOOKUP(F574,NXT!$C$12:$C$345,1,0),"","x")</f>
        <v/>
      </c>
      <c r="AD574" s="560"/>
      <c r="AE574" s="560"/>
    </row>
    <row r="575" spans="1:31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40"/>
        <v>11</v>
      </c>
      <c r="C575" s="184">
        <f t="shared" si="41"/>
        <v>41963</v>
      </c>
      <c r="D575" s="184" t="s">
        <v>945</v>
      </c>
      <c r="E575" s="191">
        <v>41963</v>
      </c>
      <c r="F575" s="192" t="s">
        <v>790</v>
      </c>
      <c r="G575" s="468" t="s">
        <v>791</v>
      </c>
      <c r="H575" s="193" t="s">
        <v>583</v>
      </c>
      <c r="I575" s="256">
        <v>3167</v>
      </c>
      <c r="J575" s="256">
        <v>7450</v>
      </c>
      <c r="K575" s="568">
        <f>ROUND(I575*J575,0)</f>
        <v>23594150</v>
      </c>
      <c r="L575" s="569" t="s">
        <v>253</v>
      </c>
      <c r="M575" s="569" t="s">
        <v>177</v>
      </c>
      <c r="N575" s="52" t="str">
        <f>IF(AND('331-CT'!$E$7=TH!H575,OR(L575="331",M575="331")),"331",IF(AND(OR(L575="131",M575="131"),H575='131-CT'!$E$7),"131",""))</f>
        <v/>
      </c>
      <c r="O575" s="89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15"/>
      <c r="AC575" s="211" t="str">
        <f>IF(F575=VLOOKUP(F575,NXT!$C$12:$C$345,1,0),"","x")</f>
        <v/>
      </c>
      <c r="AD575" s="560"/>
      <c r="AE575" s="560"/>
    </row>
    <row r="576" spans="1:31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40"/>
        <v>11</v>
      </c>
      <c r="C576" s="184">
        <f t="shared" si="41"/>
        <v>41963</v>
      </c>
      <c r="D576" s="184" t="s">
        <v>945</v>
      </c>
      <c r="E576" s="191">
        <v>41963</v>
      </c>
      <c r="F576" s="192" t="s">
        <v>421</v>
      </c>
      <c r="G576" s="468" t="s">
        <v>791</v>
      </c>
      <c r="H576" s="193" t="s">
        <v>583</v>
      </c>
      <c r="I576" s="256"/>
      <c r="J576" s="256"/>
      <c r="K576" s="38">
        <v>4779920</v>
      </c>
      <c r="L576" s="569" t="s">
        <v>253</v>
      </c>
      <c r="M576" s="569" t="s">
        <v>365</v>
      </c>
      <c r="N576" s="52" t="str">
        <f>IF(AND('331-CT'!$E$7=TH!H576,OR(L576="331",M576="331")),"331",IF(AND(OR(L576="131",M576="131"),H576='131-CT'!$E$7),"131",""))</f>
        <v/>
      </c>
      <c r="O576" s="89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15"/>
      <c r="AC576" s="560" t="str">
        <f>IF(VLOOKUP(H576,DS_131,1,0)&lt;&gt;"","","x")</f>
        <v/>
      </c>
      <c r="AD576" s="560"/>
      <c r="AE576" s="560"/>
    </row>
    <row r="577" spans="1:31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40"/>
        <v>11</v>
      </c>
      <c r="C577" s="184">
        <f t="shared" si="41"/>
        <v>41964</v>
      </c>
      <c r="D577" s="184" t="s">
        <v>946</v>
      </c>
      <c r="E577" s="191">
        <v>41964</v>
      </c>
      <c r="F577" s="189" t="s">
        <v>1211</v>
      </c>
      <c r="G577" s="468" t="s">
        <v>792</v>
      </c>
      <c r="H577" s="7" t="s">
        <v>908</v>
      </c>
      <c r="I577" s="256">
        <v>780</v>
      </c>
      <c r="J577" s="256">
        <v>14300</v>
      </c>
      <c r="K577" s="568">
        <f>ROUND(I577*J577,0)</f>
        <v>11154000</v>
      </c>
      <c r="L577" s="569" t="s">
        <v>253</v>
      </c>
      <c r="M577" s="569" t="s">
        <v>177</v>
      </c>
      <c r="N577" s="52" t="str">
        <f>IF(AND('331-CT'!$E$7=TH!H577,OR(L577="331",M577="331")),"331",IF(AND(OR(L577="131",M577="131"),H577='131-CT'!$E$7),"131",""))</f>
        <v/>
      </c>
      <c r="O577" s="89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15"/>
      <c r="AC577" s="211" t="str">
        <f>IF(F577=VLOOKUP(F577,NXT!$C$12:$C$345,1,0),"","x")</f>
        <v/>
      </c>
    </row>
    <row r="578" spans="1:31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40"/>
        <v>11</v>
      </c>
      <c r="C578" s="184">
        <f t="shared" si="41"/>
        <v>41964</v>
      </c>
      <c r="D578" s="184" t="s">
        <v>946</v>
      </c>
      <c r="E578" s="191">
        <v>41964</v>
      </c>
      <c r="F578" s="40" t="s">
        <v>446</v>
      </c>
      <c r="G578" s="468" t="s">
        <v>792</v>
      </c>
      <c r="H578" s="7" t="s">
        <v>908</v>
      </c>
      <c r="I578" s="256">
        <v>1600</v>
      </c>
      <c r="J578" s="256">
        <v>1500</v>
      </c>
      <c r="K578" s="568">
        <f>ROUND(I578*J578,0)</f>
        <v>2400000</v>
      </c>
      <c r="L578" s="569" t="s">
        <v>253</v>
      </c>
      <c r="M578" s="569" t="s">
        <v>177</v>
      </c>
      <c r="N578" s="52" t="str">
        <f>IF(AND('331-CT'!$E$7=TH!H578,OR(L578="331",M578="331")),"331",IF(AND(OR(L578="131",M578="131"),H578='131-CT'!$E$7),"131",""))</f>
        <v/>
      </c>
      <c r="O578" s="89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15"/>
      <c r="AC578" s="211" t="str">
        <f>IF(F578=VLOOKUP(F578,NXT!$C$12:$C$345,1,0),"","x")</f>
        <v/>
      </c>
    </row>
    <row r="579" spans="1:31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40"/>
        <v>11</v>
      </c>
      <c r="C579" s="184">
        <f t="shared" si="41"/>
        <v>41964</v>
      </c>
      <c r="D579" s="184" t="s">
        <v>946</v>
      </c>
      <c r="E579" s="191">
        <v>41964</v>
      </c>
      <c r="F579" s="192" t="s">
        <v>421</v>
      </c>
      <c r="G579" s="468" t="s">
        <v>792</v>
      </c>
      <c r="H579" s="7" t="s">
        <v>908</v>
      </c>
      <c r="I579" s="256"/>
      <c r="J579" s="256"/>
      <c r="K579" s="568">
        <v>1355400</v>
      </c>
      <c r="L579" s="569" t="s">
        <v>253</v>
      </c>
      <c r="M579" s="569" t="s">
        <v>365</v>
      </c>
      <c r="N579" s="52" t="str">
        <f>IF(AND('331-CT'!$E$7=TH!H579,OR(L579="331",M579="331")),"331",IF(AND(OR(L579="131",M579="131"),H579='131-CT'!$E$7),"131",""))</f>
        <v/>
      </c>
      <c r="O579" s="89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15"/>
      <c r="AC579" s="560" t="str">
        <f>IF(VLOOKUP(H579,DS_131,1,0)&lt;&gt;"","","x")</f>
        <v/>
      </c>
    </row>
    <row r="580" spans="1:31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40"/>
        <v>11</v>
      </c>
      <c r="C580" s="184">
        <f t="shared" si="41"/>
        <v>41967</v>
      </c>
      <c r="D580" s="184" t="s">
        <v>947</v>
      </c>
      <c r="E580" s="191">
        <v>41967</v>
      </c>
      <c r="F580" s="189" t="s">
        <v>567</v>
      </c>
      <c r="G580" s="468" t="s">
        <v>793</v>
      </c>
      <c r="H580" s="7" t="s">
        <v>439</v>
      </c>
      <c r="I580" s="256">
        <v>511</v>
      </c>
      <c r="J580" s="256">
        <v>10500</v>
      </c>
      <c r="K580" s="568">
        <f>ROUND(I580*J580,0)</f>
        <v>5365500</v>
      </c>
      <c r="L580" s="569" t="s">
        <v>253</v>
      </c>
      <c r="M580" s="569" t="s">
        <v>177</v>
      </c>
      <c r="N580" s="52" t="str">
        <f>IF(AND('331-CT'!$E$7=TH!H580,OR(L580="331",M580="331")),"331",IF(AND(OR(L580="131",M580="131"),H580='131-CT'!$E$7),"131",""))</f>
        <v/>
      </c>
      <c r="O580" s="89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15"/>
      <c r="AC580" s="211" t="str">
        <f>IF(F580=VLOOKUP(F580,NXT!$C$12:$C$345,1,0),"","x")</f>
        <v/>
      </c>
    </row>
    <row r="581" spans="1:31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40"/>
        <v>11</v>
      </c>
      <c r="C581" s="184">
        <f t="shared" si="41"/>
        <v>41967</v>
      </c>
      <c r="D581" s="184" t="s">
        <v>947</v>
      </c>
      <c r="E581" s="191">
        <v>41967</v>
      </c>
      <c r="F581" s="192" t="s">
        <v>421</v>
      </c>
      <c r="G581" s="468" t="s">
        <v>793</v>
      </c>
      <c r="H581" s="7" t="s">
        <v>439</v>
      </c>
      <c r="I581" s="256"/>
      <c r="J581" s="256"/>
      <c r="K581" s="568">
        <v>536550</v>
      </c>
      <c r="L581" s="569" t="s">
        <v>253</v>
      </c>
      <c r="M581" s="569" t="s">
        <v>365</v>
      </c>
      <c r="N581" s="52" t="str">
        <f>IF(AND('331-CT'!$E$7=TH!H581,OR(L581="331",M581="331")),"331",IF(AND(OR(L581="131",M581="131"),H581='131-CT'!$E$7),"131",""))</f>
        <v/>
      </c>
      <c r="O581" s="89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15"/>
      <c r="AC581" s="560" t="str">
        <f>IF(VLOOKUP(H581,DS_131,1,0)&lt;&gt;"","","x")</f>
        <v/>
      </c>
    </row>
    <row r="582" spans="1:31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40"/>
        <v>11</v>
      </c>
      <c r="C582" s="184">
        <f t="shared" si="41"/>
        <v>41968</v>
      </c>
      <c r="D582" s="184" t="s">
        <v>948</v>
      </c>
      <c r="E582" s="191">
        <v>41968</v>
      </c>
      <c r="F582" s="40" t="s">
        <v>794</v>
      </c>
      <c r="G582" s="468" t="s">
        <v>795</v>
      </c>
      <c r="H582" s="7" t="s">
        <v>583</v>
      </c>
      <c r="I582" s="256">
        <v>3160</v>
      </c>
      <c r="J582" s="256">
        <v>7450</v>
      </c>
      <c r="K582" s="568">
        <f>ROUND(I582*J582,0)</f>
        <v>23542000</v>
      </c>
      <c r="L582" s="569" t="s">
        <v>253</v>
      </c>
      <c r="M582" s="569" t="s">
        <v>177</v>
      </c>
      <c r="N582" s="52" t="str">
        <f>IF(AND('331-CT'!$E$7=TH!H582,OR(L582="331",M582="331")),"331",IF(AND(OR(L582="131",M582="131"),H582='131-CT'!$E$7),"131",""))</f>
        <v/>
      </c>
      <c r="O582" s="89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15"/>
      <c r="AC582" s="211" t="str">
        <f>IF(F582=VLOOKUP(F582,NXT!$C$12:$C$345,1,0),"","x")</f>
        <v/>
      </c>
    </row>
    <row r="583" spans="1:31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40"/>
        <v>11</v>
      </c>
      <c r="C583" s="184">
        <f t="shared" si="41"/>
        <v>41968</v>
      </c>
      <c r="D583" s="184" t="s">
        <v>948</v>
      </c>
      <c r="E583" s="191">
        <v>41968</v>
      </c>
      <c r="F583" s="192" t="s">
        <v>421</v>
      </c>
      <c r="G583" s="468" t="s">
        <v>795</v>
      </c>
      <c r="H583" s="7" t="s">
        <v>583</v>
      </c>
      <c r="I583" s="256"/>
      <c r="J583" s="256"/>
      <c r="K583" s="568">
        <v>2354200</v>
      </c>
      <c r="L583" s="569" t="s">
        <v>253</v>
      </c>
      <c r="M583" s="569" t="s">
        <v>365</v>
      </c>
      <c r="N583" s="52" t="str">
        <f>IF(AND('331-CT'!$E$7=TH!H583,OR(L583="331",M583="331")),"331",IF(AND(OR(L583="131",M583="131"),H583='131-CT'!$E$7),"131",""))</f>
        <v/>
      </c>
      <c r="O583" s="89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15"/>
      <c r="AC583" s="560" t="str">
        <f>IF(VLOOKUP(H583,DS_131,1,0)&lt;&gt;"","","x")</f>
        <v/>
      </c>
    </row>
    <row r="584" spans="1:31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40"/>
        <v>11</v>
      </c>
      <c r="C584" s="184">
        <f t="shared" si="41"/>
        <v>41968</v>
      </c>
      <c r="D584" s="184" t="s">
        <v>949</v>
      </c>
      <c r="E584" s="191">
        <v>41968</v>
      </c>
      <c r="F584" s="189" t="s">
        <v>723</v>
      </c>
      <c r="G584" s="468" t="s">
        <v>796</v>
      </c>
      <c r="H584" s="7" t="s">
        <v>685</v>
      </c>
      <c r="I584" s="256">
        <v>33</v>
      </c>
      <c r="J584" s="256">
        <v>30000</v>
      </c>
      <c r="K584" s="568">
        <f>ROUND(I584*J584,0)</f>
        <v>990000</v>
      </c>
      <c r="L584" s="569" t="s">
        <v>253</v>
      </c>
      <c r="M584" s="569" t="s">
        <v>177</v>
      </c>
      <c r="N584" s="52" t="str">
        <f>IF(AND('331-CT'!$E$7=TH!H584,OR(L584="331",M584="331")),"331",IF(AND(OR(L584="131",M584="131"),H584='131-CT'!$E$7),"131",""))</f>
        <v/>
      </c>
      <c r="O584" s="89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15"/>
      <c r="AC584" s="211" t="str">
        <f>IF(F584=VLOOKUP(F584,NXT!$C$12:$C$345,1,0),"","x")</f>
        <v/>
      </c>
    </row>
    <row r="585" spans="1:31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40"/>
        <v>11</v>
      </c>
      <c r="C585" s="184">
        <f t="shared" si="41"/>
        <v>41968</v>
      </c>
      <c r="D585" s="184" t="s">
        <v>949</v>
      </c>
      <c r="E585" s="191">
        <v>41968</v>
      </c>
      <c r="F585" s="40" t="s">
        <v>772</v>
      </c>
      <c r="G585" s="468" t="s">
        <v>796</v>
      </c>
      <c r="H585" s="7" t="s">
        <v>685</v>
      </c>
      <c r="I585" s="256">
        <v>56</v>
      </c>
      <c r="J585" s="256">
        <v>31500</v>
      </c>
      <c r="K585" s="568">
        <f>ROUND(I585*J585,0)</f>
        <v>1764000</v>
      </c>
      <c r="L585" s="569" t="s">
        <v>253</v>
      </c>
      <c r="M585" s="569" t="s">
        <v>177</v>
      </c>
      <c r="N585" s="52" t="str">
        <f>IF(AND('331-CT'!$E$7=TH!H585,OR(L585="331",M585="331")),"331",IF(AND(OR(L585="131",M585="131"),H585='131-CT'!$E$7),"131",""))</f>
        <v/>
      </c>
      <c r="O585" s="89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15"/>
      <c r="AC585" s="211" t="str">
        <f>IF(F585=VLOOKUP(F585,NXT!$C$12:$C$345,1,0),"","x")</f>
        <v/>
      </c>
    </row>
    <row r="586" spans="1:31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40"/>
        <v>11</v>
      </c>
      <c r="C586" s="184">
        <f t="shared" si="41"/>
        <v>41968</v>
      </c>
      <c r="D586" s="184" t="s">
        <v>949</v>
      </c>
      <c r="E586" s="191">
        <v>41968</v>
      </c>
      <c r="F586" s="192" t="s">
        <v>747</v>
      </c>
      <c r="G586" s="468" t="s">
        <v>796</v>
      </c>
      <c r="H586" s="193" t="s">
        <v>685</v>
      </c>
      <c r="I586" s="256">
        <v>178</v>
      </c>
      <c r="J586" s="256">
        <v>1440</v>
      </c>
      <c r="K586" s="568">
        <f>ROUND(I586*J586,0)</f>
        <v>256320</v>
      </c>
      <c r="L586" s="569" t="s">
        <v>253</v>
      </c>
      <c r="M586" s="569" t="s">
        <v>177</v>
      </c>
      <c r="N586" s="52" t="str">
        <f>IF(AND('331-CT'!$E$7=TH!H586,OR(L586="331",M586="331")),"331",IF(AND(OR(L586="131",M586="131"),H586='131-CT'!$E$7),"131",""))</f>
        <v/>
      </c>
      <c r="O586" s="89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15"/>
      <c r="AC586" s="211" t="str">
        <f>IF(F586=VLOOKUP(F586,NXT!$C$12:$C$345,1,0),"","x")</f>
        <v/>
      </c>
      <c r="AE586" s="560"/>
    </row>
    <row r="587" spans="1:31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40"/>
        <v>11</v>
      </c>
      <c r="C587" s="184">
        <f t="shared" si="41"/>
        <v>41968</v>
      </c>
      <c r="D587" s="184" t="s">
        <v>949</v>
      </c>
      <c r="E587" s="191">
        <v>41968</v>
      </c>
      <c r="F587" s="192" t="s">
        <v>421</v>
      </c>
      <c r="G587" s="468" t="s">
        <v>796</v>
      </c>
      <c r="H587" s="193" t="s">
        <v>685</v>
      </c>
      <c r="I587" s="256"/>
      <c r="J587" s="256"/>
      <c r="K587" s="38">
        <v>301032</v>
      </c>
      <c r="L587" s="569" t="s">
        <v>253</v>
      </c>
      <c r="M587" s="569" t="s">
        <v>365</v>
      </c>
      <c r="N587" s="52" t="str">
        <f>IF(AND('331-CT'!$E$7=TH!H587,OR(L587="331",M587="331")),"331",IF(AND(OR(L587="131",M587="131"),H587='131-CT'!$E$7),"131",""))</f>
        <v/>
      </c>
      <c r="O587" s="89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15"/>
      <c r="AC587" s="560" t="str">
        <f>IF(VLOOKUP(H587,DS_131,1,0)&lt;&gt;"","","x")</f>
        <v/>
      </c>
      <c r="AD587" s="560"/>
      <c r="AE587" s="560"/>
    </row>
    <row r="588" spans="1:31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40"/>
        <v>11</v>
      </c>
      <c r="C588" s="184">
        <f t="shared" si="41"/>
        <v>41970</v>
      </c>
      <c r="D588" s="184" t="s">
        <v>950</v>
      </c>
      <c r="E588" s="191">
        <v>41970</v>
      </c>
      <c r="F588" s="189" t="s">
        <v>797</v>
      </c>
      <c r="G588" s="468" t="s">
        <v>798</v>
      </c>
      <c r="H588" s="7" t="s">
        <v>799</v>
      </c>
      <c r="I588" s="257">
        <v>100</v>
      </c>
      <c r="J588" s="257">
        <v>9173</v>
      </c>
      <c r="K588" s="568">
        <f>ROUND(I588*J588,0)</f>
        <v>917300</v>
      </c>
      <c r="L588" s="569" t="s">
        <v>253</v>
      </c>
      <c r="M588" s="569" t="s">
        <v>177</v>
      </c>
      <c r="N588" s="52" t="str">
        <f>IF(AND('331-CT'!$E$7=TH!H588,OR(L588="331",M588="331")),"331",IF(AND(OR(L588="131",M588="131"),H588='131-CT'!$E$7),"131",""))</f>
        <v/>
      </c>
      <c r="O588" s="89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15"/>
      <c r="AC588" s="211" t="str">
        <f>IF(F588=VLOOKUP(F588,NXT!$C$12:$C$345,1,0),"","x")</f>
        <v/>
      </c>
      <c r="AD588" s="560"/>
      <c r="AE588" s="560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40"/>
        <v>11</v>
      </c>
      <c r="C589" s="184">
        <f t="shared" si="41"/>
        <v>41970</v>
      </c>
      <c r="D589" s="184" t="s">
        <v>950</v>
      </c>
      <c r="E589" s="191">
        <v>41970</v>
      </c>
      <c r="F589" s="192" t="s">
        <v>421</v>
      </c>
      <c r="G589" s="468" t="s">
        <v>798</v>
      </c>
      <c r="H589" s="7" t="s">
        <v>799</v>
      </c>
      <c r="I589" s="256"/>
      <c r="J589" s="256"/>
      <c r="K589" s="568">
        <v>91730</v>
      </c>
      <c r="L589" s="569" t="s">
        <v>253</v>
      </c>
      <c r="M589" s="569" t="s">
        <v>365</v>
      </c>
      <c r="N589" s="52" t="str">
        <f>IF(AND('331-CT'!$E$7=TH!H589,OR(L589="331",M589="331")),"331",IF(AND(OR(L589="131",M589="131"),H589='131-CT'!$E$7),"131",""))</f>
        <v/>
      </c>
      <c r="O589" s="89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15"/>
      <c r="AC589" s="560" t="str">
        <f>IF(VLOOKUP(H589,DS_131,1,0)&lt;&gt;"","","x")</f>
        <v/>
      </c>
      <c r="AD589" s="560"/>
      <c r="AE589" s="560"/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40"/>
        <v>11</v>
      </c>
      <c r="C590" s="184">
        <f t="shared" si="41"/>
        <v>41970</v>
      </c>
      <c r="D590" s="184" t="s">
        <v>951</v>
      </c>
      <c r="E590" s="191">
        <v>41970</v>
      </c>
      <c r="F590" s="189" t="s">
        <v>509</v>
      </c>
      <c r="G590" s="468" t="s">
        <v>800</v>
      </c>
      <c r="H590" s="7" t="s">
        <v>909</v>
      </c>
      <c r="I590" s="256">
        <v>333</v>
      </c>
      <c r="J590" s="256">
        <v>9400</v>
      </c>
      <c r="K590" s="568">
        <f>ROUND(I590*J590,0)</f>
        <v>3130200</v>
      </c>
      <c r="L590" s="569" t="s">
        <v>253</v>
      </c>
      <c r="M590" s="569" t="s">
        <v>177</v>
      </c>
      <c r="N590" s="52" t="str">
        <f>IF(AND('331-CT'!$E$7=TH!H590,OR(L590="331",M590="331")),"331",IF(AND(OR(L590="131",M590="131"),H590='131-CT'!$E$7),"131",""))</f>
        <v/>
      </c>
      <c r="O590" s="89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15"/>
      <c r="AC590" s="211" t="str">
        <f>IF(F590=VLOOKUP(F590,NXT!$C$12:$C$345,1,0),"","x")</f>
        <v/>
      </c>
      <c r="AE590" s="560"/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40"/>
        <v>11</v>
      </c>
      <c r="C591" s="184">
        <f t="shared" si="41"/>
        <v>41970</v>
      </c>
      <c r="D591" s="184" t="s">
        <v>951</v>
      </c>
      <c r="E591" s="191">
        <v>41970</v>
      </c>
      <c r="F591" s="189" t="s">
        <v>488</v>
      </c>
      <c r="G591" s="468" t="s">
        <v>800</v>
      </c>
      <c r="H591" s="7" t="s">
        <v>909</v>
      </c>
      <c r="I591" s="257">
        <v>219</v>
      </c>
      <c r="J591" s="257">
        <v>6400</v>
      </c>
      <c r="K591" s="568">
        <f>ROUND(I591*J591,0)</f>
        <v>1401600</v>
      </c>
      <c r="L591" s="569" t="s">
        <v>253</v>
      </c>
      <c r="M591" s="569" t="s">
        <v>177</v>
      </c>
      <c r="N591" s="52" t="str">
        <f>IF(AND('331-CT'!$E$7=TH!H591,OR(L591="331",M591="331")),"331",IF(AND(OR(L591="131",M591="131"),H591='131-CT'!$E$7),"131",""))</f>
        <v/>
      </c>
      <c r="O591" s="89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15"/>
      <c r="AC591" s="211" t="str">
        <f>IF(F591=VLOOKUP(F591,NXT!$C$12:$C$345,1,0),"","x")</f>
        <v/>
      </c>
      <c r="AD591" s="560"/>
      <c r="AE591" s="560"/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40"/>
        <v>11</v>
      </c>
      <c r="C592" s="184">
        <f t="shared" si="41"/>
        <v>41970</v>
      </c>
      <c r="D592" s="184" t="s">
        <v>951</v>
      </c>
      <c r="E592" s="191">
        <v>41970</v>
      </c>
      <c r="F592" s="189" t="s">
        <v>487</v>
      </c>
      <c r="G592" s="468" t="s">
        <v>800</v>
      </c>
      <c r="H592" s="7" t="s">
        <v>909</v>
      </c>
      <c r="I592" s="256">
        <v>112</v>
      </c>
      <c r="J592" s="256">
        <v>9300</v>
      </c>
      <c r="K592" s="568">
        <f>ROUND(I592*J592,0)</f>
        <v>1041600</v>
      </c>
      <c r="L592" s="569" t="s">
        <v>253</v>
      </c>
      <c r="M592" s="569" t="s">
        <v>177</v>
      </c>
      <c r="N592" s="52" t="str">
        <f>IF(AND('331-CT'!$E$7=TH!H592,OR(L592="331",M592="331")),"331",IF(AND(OR(L592="131",M592="131"),H592='131-CT'!$E$7),"131",""))</f>
        <v/>
      </c>
      <c r="O592" s="89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15"/>
      <c r="AC592" s="211" t="str">
        <f>IF(F592=VLOOKUP(F592,NXT!$C$12:$C$345,1,0),"","x")</f>
        <v/>
      </c>
      <c r="AE592" s="560"/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40"/>
        <v>11</v>
      </c>
      <c r="C593" s="184">
        <f t="shared" si="41"/>
        <v>41970</v>
      </c>
      <c r="D593" s="184" t="s">
        <v>951</v>
      </c>
      <c r="E593" s="191">
        <v>41970</v>
      </c>
      <c r="F593" s="192" t="s">
        <v>421</v>
      </c>
      <c r="G593" s="468" t="s">
        <v>800</v>
      </c>
      <c r="H593" s="7" t="s">
        <v>909</v>
      </c>
      <c r="I593" s="257"/>
      <c r="J593" s="257"/>
      <c r="K593" s="38">
        <v>557340</v>
      </c>
      <c r="L593" s="569" t="s">
        <v>253</v>
      </c>
      <c r="M593" s="569" t="s">
        <v>365</v>
      </c>
      <c r="N593" s="52" t="str">
        <f>IF(AND('331-CT'!$E$7=TH!H593,OR(L593="331",M593="331")),"331",IF(AND(OR(L593="131",M593="131"),H593='131-CT'!$E$7),"131",""))</f>
        <v/>
      </c>
      <c r="O593" s="89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15"/>
      <c r="AC593" s="560" t="str">
        <f>IF(VLOOKUP(H593,DS_131,1,0)&lt;&gt;"","","x")</f>
        <v/>
      </c>
      <c r="AD593" s="560"/>
      <c r="AE593" s="560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40"/>
        <v>11</v>
      </c>
      <c r="C594" s="184">
        <f t="shared" si="41"/>
        <v>41970</v>
      </c>
      <c r="D594" s="184" t="s">
        <v>952</v>
      </c>
      <c r="E594" s="191">
        <v>41970</v>
      </c>
      <c r="F594" s="192" t="s">
        <v>631</v>
      </c>
      <c r="G594" s="468" t="s">
        <v>801</v>
      </c>
      <c r="H594" s="45" t="s">
        <v>470</v>
      </c>
      <c r="I594" s="256">
        <v>110</v>
      </c>
      <c r="J594" s="256">
        <v>3600</v>
      </c>
      <c r="K594" s="568">
        <f>ROUND(I594*J594,0)</f>
        <v>396000</v>
      </c>
      <c r="L594" s="569" t="s">
        <v>253</v>
      </c>
      <c r="M594" s="569" t="s">
        <v>177</v>
      </c>
      <c r="N594" s="52" t="str">
        <f>IF(AND('331-CT'!$E$7=TH!H594,OR(L594="331",M594="331")),"331",IF(AND(OR(L594="131",M594="131"),H594='131-CT'!$E$7),"131",""))</f>
        <v/>
      </c>
      <c r="O594" s="89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15"/>
      <c r="AC594" s="211" t="str">
        <f>IF(F594=VLOOKUP(F594,NXT!$C$12:$C$345,1,0),"","x")</f>
        <v/>
      </c>
      <c r="AD594" s="560"/>
      <c r="AE594" s="560"/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40"/>
        <v>11</v>
      </c>
      <c r="C595" s="184">
        <f t="shared" si="41"/>
        <v>41970</v>
      </c>
      <c r="D595" s="184" t="s">
        <v>952</v>
      </c>
      <c r="E595" s="191">
        <v>41970</v>
      </c>
      <c r="F595" s="192" t="s">
        <v>633</v>
      </c>
      <c r="G595" s="468" t="s">
        <v>801</v>
      </c>
      <c r="H595" s="45" t="s">
        <v>470</v>
      </c>
      <c r="I595" s="256">
        <v>260</v>
      </c>
      <c r="J595" s="256">
        <v>5650</v>
      </c>
      <c r="K595" s="568">
        <f>ROUND(I595*J595,0)</f>
        <v>1469000</v>
      </c>
      <c r="L595" s="569" t="s">
        <v>253</v>
      </c>
      <c r="M595" s="569" t="s">
        <v>177</v>
      </c>
      <c r="N595" s="52" t="str">
        <f>IF(AND('331-CT'!$E$7=TH!H595,OR(L595="331",M595="331")),"331",IF(AND(OR(L595="131",M595="131"),H595='131-CT'!$E$7),"131",""))</f>
        <v/>
      </c>
      <c r="O595" s="89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15"/>
      <c r="AC595" s="211" t="str">
        <f>IF(F595=VLOOKUP(F595,NXT!$C$12:$C$345,1,0),"","x")</f>
        <v/>
      </c>
      <c r="AD595" s="560"/>
      <c r="AE595" s="560"/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40"/>
        <v>11</v>
      </c>
      <c r="C596" s="184">
        <f t="shared" si="41"/>
        <v>41970</v>
      </c>
      <c r="D596" s="184" t="s">
        <v>952</v>
      </c>
      <c r="E596" s="191">
        <v>41970</v>
      </c>
      <c r="F596" s="189" t="s">
        <v>632</v>
      </c>
      <c r="G596" s="468" t="s">
        <v>801</v>
      </c>
      <c r="H596" s="7" t="s">
        <v>470</v>
      </c>
      <c r="I596" s="256">
        <v>450</v>
      </c>
      <c r="J596" s="256">
        <v>3800</v>
      </c>
      <c r="K596" s="568">
        <f>ROUND(I596*J596,0)</f>
        <v>1710000</v>
      </c>
      <c r="L596" s="569" t="s">
        <v>253</v>
      </c>
      <c r="M596" s="569" t="s">
        <v>177</v>
      </c>
      <c r="N596" s="52" t="str">
        <f>IF(AND('331-CT'!$E$7=TH!H596,OR(L596="331",M596="331")),"331",IF(AND(OR(L596="131",M596="131"),H596='131-CT'!$E$7),"131",""))</f>
        <v/>
      </c>
      <c r="O596" s="89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15"/>
      <c r="AC596" s="211" t="str">
        <f>IF(F596=VLOOKUP(F596,NXT!$C$12:$C$345,1,0),"","x")</f>
        <v/>
      </c>
      <c r="AD596" s="560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40"/>
        <v>11</v>
      </c>
      <c r="C597" s="184">
        <f t="shared" si="41"/>
        <v>41970</v>
      </c>
      <c r="D597" s="184" t="s">
        <v>952</v>
      </c>
      <c r="E597" s="191">
        <v>41970</v>
      </c>
      <c r="F597" s="192" t="s">
        <v>421</v>
      </c>
      <c r="G597" s="468" t="s">
        <v>801</v>
      </c>
      <c r="H597" s="7" t="s">
        <v>470</v>
      </c>
      <c r="I597" s="256"/>
      <c r="J597" s="256"/>
      <c r="K597" s="568">
        <v>357500</v>
      </c>
      <c r="L597" s="569" t="s">
        <v>253</v>
      </c>
      <c r="M597" s="569" t="s">
        <v>365</v>
      </c>
      <c r="N597" s="52" t="str">
        <f>IF(AND('331-CT'!$E$7=TH!H597,OR(L597="331",M597="331")),"331",IF(AND(OR(L597="131",M597="131"),H597='131-CT'!$E$7),"131",""))</f>
        <v/>
      </c>
      <c r="O597" s="89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15"/>
      <c r="AC597" s="560" t="str">
        <f>IF(VLOOKUP(H597,DS_131,1,0)&lt;&gt;"","","x")</f>
        <v/>
      </c>
      <c r="AD597" s="560"/>
      <c r="AE597" s="560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40"/>
        <v>11</v>
      </c>
      <c r="C598" s="184">
        <f t="shared" si="41"/>
        <v>41972</v>
      </c>
      <c r="D598" s="184" t="s">
        <v>953</v>
      </c>
      <c r="E598" s="191">
        <v>41972</v>
      </c>
      <c r="F598" s="189" t="s">
        <v>671</v>
      </c>
      <c r="G598" s="468" t="s">
        <v>802</v>
      </c>
      <c r="H598" s="7" t="s">
        <v>673</v>
      </c>
      <c r="I598" s="256">
        <v>1000</v>
      </c>
      <c r="J598" s="256">
        <v>9300</v>
      </c>
      <c r="K598" s="568">
        <f>ROUND(I598*J598,0)</f>
        <v>9300000</v>
      </c>
      <c r="L598" s="569" t="s">
        <v>253</v>
      </c>
      <c r="M598" s="569" t="s">
        <v>177</v>
      </c>
      <c r="N598" s="52" t="str">
        <f>IF(AND('331-CT'!$E$7=TH!H598,OR(L598="331",M598="331")),"331",IF(AND(OR(L598="131",M598="131"),H598='131-CT'!$E$7),"131",""))</f>
        <v/>
      </c>
      <c r="O598" s="89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15"/>
      <c r="AC598" s="211" t="str">
        <f>IF(F598=VLOOKUP(F598,NXT!$C$12:$C$345,1,0),"","x")</f>
        <v/>
      </c>
      <c r="AE598" s="560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40"/>
        <v>11</v>
      </c>
      <c r="C599" s="184">
        <f t="shared" si="41"/>
        <v>41972</v>
      </c>
      <c r="D599" s="184" t="s">
        <v>953</v>
      </c>
      <c r="E599" s="191">
        <v>41972</v>
      </c>
      <c r="F599" s="192" t="s">
        <v>421</v>
      </c>
      <c r="G599" s="468" t="s">
        <v>802</v>
      </c>
      <c r="H599" s="7" t="s">
        <v>673</v>
      </c>
      <c r="I599" s="256"/>
      <c r="J599" s="256"/>
      <c r="K599" s="568">
        <v>930000</v>
      </c>
      <c r="L599" s="569" t="s">
        <v>253</v>
      </c>
      <c r="M599" s="569" t="s">
        <v>365</v>
      </c>
      <c r="N599" s="52" t="str">
        <f>IF(AND('331-CT'!$E$7=TH!H599,OR(L599="331",M599="331")),"331",IF(AND(OR(L599="131",M599="131"),H599='131-CT'!$E$7),"131",""))</f>
        <v/>
      </c>
      <c r="O599" s="89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15"/>
      <c r="AC599" s="560" t="str">
        <f>IF(VLOOKUP(H599,DS_131,1,0)&lt;&gt;"","","x")</f>
        <v/>
      </c>
      <c r="AD599" s="560"/>
      <c r="AE599" s="560"/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40"/>
        <v>11</v>
      </c>
      <c r="C600" s="184">
        <f t="shared" si="41"/>
        <v>41973</v>
      </c>
      <c r="D600" s="184" t="s">
        <v>954</v>
      </c>
      <c r="E600" s="191">
        <v>41973</v>
      </c>
      <c r="F600" s="189" t="s">
        <v>671</v>
      </c>
      <c r="G600" s="468" t="s">
        <v>803</v>
      </c>
      <c r="H600" s="7" t="s">
        <v>673</v>
      </c>
      <c r="I600" s="256">
        <v>987</v>
      </c>
      <c r="J600" s="256">
        <v>9300</v>
      </c>
      <c r="K600" s="568">
        <f>ROUND(I600*J600,0)</f>
        <v>9179100</v>
      </c>
      <c r="L600" s="569" t="s">
        <v>253</v>
      </c>
      <c r="M600" s="569" t="s">
        <v>177</v>
      </c>
      <c r="N600" s="52" t="str">
        <f>IF(AND('331-CT'!$E$7=TH!H600,OR(L600="331",M600="331")),"331",IF(AND(OR(L600="131",M600="131"),H600='131-CT'!$E$7),"131",""))</f>
        <v/>
      </c>
      <c r="O600" s="89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15"/>
      <c r="AC600" s="211" t="str">
        <f>IF(F600=VLOOKUP(F600,NXT!$C$12:$C$345,1,0),"","x")</f>
        <v/>
      </c>
      <c r="AE600" s="560"/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40"/>
        <v>11</v>
      </c>
      <c r="C601" s="184">
        <f t="shared" si="41"/>
        <v>41973</v>
      </c>
      <c r="D601" s="184" t="s">
        <v>954</v>
      </c>
      <c r="E601" s="191">
        <v>41973</v>
      </c>
      <c r="F601" s="189" t="s">
        <v>671</v>
      </c>
      <c r="G601" s="468" t="s">
        <v>803</v>
      </c>
      <c r="H601" s="7" t="s">
        <v>673</v>
      </c>
      <c r="I601" s="256">
        <v>226</v>
      </c>
      <c r="J601" s="256">
        <v>7100</v>
      </c>
      <c r="K601" s="568">
        <f>ROUND(I601*J601,0)</f>
        <v>1604600</v>
      </c>
      <c r="L601" s="569" t="s">
        <v>253</v>
      </c>
      <c r="M601" s="569" t="s">
        <v>177</v>
      </c>
      <c r="N601" s="52" t="str">
        <f>IF(AND('331-CT'!$E$7=TH!H601,OR(L601="331",M601="331")),"331",IF(AND(OR(L601="131",M601="131"),H601='131-CT'!$E$7),"131",""))</f>
        <v/>
      </c>
      <c r="O601" s="89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15"/>
      <c r="AC601" s="211" t="str">
        <f>IF(F601=VLOOKUP(F601,NXT!$C$12:$C$345,1,0),"","x")</f>
        <v/>
      </c>
      <c r="AD601" s="560"/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40"/>
        <v>11</v>
      </c>
      <c r="C602" s="184">
        <f t="shared" si="41"/>
        <v>41973</v>
      </c>
      <c r="D602" s="184" t="s">
        <v>954</v>
      </c>
      <c r="E602" s="191">
        <v>41973</v>
      </c>
      <c r="F602" s="192" t="s">
        <v>421</v>
      </c>
      <c r="G602" s="468" t="s">
        <v>803</v>
      </c>
      <c r="H602" s="7" t="s">
        <v>673</v>
      </c>
      <c r="I602" s="256"/>
      <c r="J602" s="256"/>
      <c r="K602" s="568">
        <v>1078370</v>
      </c>
      <c r="L602" s="569" t="s">
        <v>253</v>
      </c>
      <c r="M602" s="569" t="s">
        <v>365</v>
      </c>
      <c r="N602" s="52" t="str">
        <f>IF(AND('331-CT'!$E$7=TH!H602,OR(L602="331",M602="331")),"331",IF(AND(OR(L602="131",M602="131"),H602='131-CT'!$E$7),"131",""))</f>
        <v/>
      </c>
      <c r="O602" s="89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15"/>
      <c r="AC602" s="560" t="str">
        <f>IF(VLOOKUP(H602,DS_131,1,0)&lt;&gt;"","","x")</f>
        <v/>
      </c>
      <c r="AD602" s="560"/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40"/>
        <v>11</v>
      </c>
      <c r="C603" s="184">
        <f t="shared" si="41"/>
        <v>41973</v>
      </c>
      <c r="D603" s="184" t="s">
        <v>955</v>
      </c>
      <c r="E603" s="191">
        <v>41973</v>
      </c>
      <c r="F603" s="189" t="s">
        <v>776</v>
      </c>
      <c r="G603" s="468" t="s">
        <v>804</v>
      </c>
      <c r="H603" s="7" t="s">
        <v>778</v>
      </c>
      <c r="I603" s="256">
        <v>1980</v>
      </c>
      <c r="J603" s="256">
        <v>6100</v>
      </c>
      <c r="K603" s="568">
        <f>ROUND(I603*J603,0)</f>
        <v>12078000</v>
      </c>
      <c r="L603" s="569" t="s">
        <v>253</v>
      </c>
      <c r="M603" s="569" t="s">
        <v>177</v>
      </c>
      <c r="N603" s="52" t="str">
        <f>IF(AND('331-CT'!$E$7=TH!H603,OR(L603="331",M603="331")),"331",IF(AND(OR(L603="131",M603="131"),H603='131-CT'!$E$7),"131",""))</f>
        <v/>
      </c>
      <c r="O603" s="89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15"/>
      <c r="AC603" s="211" t="str">
        <f>IF(F603=VLOOKUP(F603,NXT!$C$12:$C$345,1,0),"","x")</f>
        <v/>
      </c>
      <c r="AD603" s="560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40"/>
        <v>11</v>
      </c>
      <c r="C604" s="184">
        <f t="shared" si="41"/>
        <v>41973</v>
      </c>
      <c r="D604" s="184" t="s">
        <v>955</v>
      </c>
      <c r="E604" s="191">
        <v>41973</v>
      </c>
      <c r="F604" s="192" t="s">
        <v>421</v>
      </c>
      <c r="G604" s="468" t="s">
        <v>804</v>
      </c>
      <c r="H604" s="193" t="s">
        <v>778</v>
      </c>
      <c r="I604" s="256"/>
      <c r="J604" s="256"/>
      <c r="K604" s="38">
        <v>1207800</v>
      </c>
      <c r="L604" s="569" t="s">
        <v>253</v>
      </c>
      <c r="M604" s="569" t="s">
        <v>365</v>
      </c>
      <c r="N604" s="52" t="str">
        <f>IF(AND('331-CT'!$E$7=TH!H604,OR(L604="331",M604="331")),"331",IF(AND(OR(L604="131",M604="131"),H604='131-CT'!$E$7),"131",""))</f>
        <v/>
      </c>
      <c r="O604" s="89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15"/>
      <c r="AC604" s="560" t="str">
        <f>IF(VLOOKUP(H604,DS_131,1,0)&lt;&gt;"","","x")</f>
        <v/>
      </c>
      <c r="AD604" s="560"/>
      <c r="AE604" s="560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40"/>
        <v>12</v>
      </c>
      <c r="C605" s="184">
        <f t="shared" si="41"/>
        <v>41975</v>
      </c>
      <c r="D605" s="184" t="s">
        <v>956</v>
      </c>
      <c r="E605" s="191">
        <v>41975</v>
      </c>
      <c r="F605" s="192" t="s">
        <v>742</v>
      </c>
      <c r="G605" s="468" t="s">
        <v>805</v>
      </c>
      <c r="H605" s="193" t="s">
        <v>420</v>
      </c>
      <c r="I605" s="256">
        <v>1059</v>
      </c>
      <c r="J605" s="256">
        <v>5400</v>
      </c>
      <c r="K605" s="568">
        <f>ROUND(I605*J605,0)</f>
        <v>5718600</v>
      </c>
      <c r="L605" s="569" t="s">
        <v>253</v>
      </c>
      <c r="M605" s="569" t="s">
        <v>177</v>
      </c>
      <c r="N605" s="52" t="str">
        <f>IF(AND('331-CT'!$E$7=TH!H605,OR(L605="331",M605="331")),"331",IF(AND(OR(L605="131",M605="131"),H605='131-CT'!$E$7),"131",""))</f>
        <v/>
      </c>
      <c r="O605" s="89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15"/>
      <c r="AC605" s="211" t="str">
        <f>IF(F605=VLOOKUP(F605,NXT!$C$12:$C$345,1,0),"","x")</f>
        <v/>
      </c>
      <c r="AD605" s="560"/>
      <c r="AE605" s="560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40"/>
        <v>12</v>
      </c>
      <c r="C606" s="184">
        <f t="shared" si="41"/>
        <v>41975</v>
      </c>
      <c r="D606" s="184" t="s">
        <v>956</v>
      </c>
      <c r="E606" s="191">
        <v>41975</v>
      </c>
      <c r="F606" s="192" t="s">
        <v>421</v>
      </c>
      <c r="G606" s="468" t="s">
        <v>805</v>
      </c>
      <c r="H606" s="193" t="s">
        <v>420</v>
      </c>
      <c r="I606" s="257"/>
      <c r="J606" s="257"/>
      <c r="K606" s="568">
        <v>571860</v>
      </c>
      <c r="L606" s="569" t="s">
        <v>253</v>
      </c>
      <c r="M606" s="569" t="s">
        <v>365</v>
      </c>
      <c r="N606" s="52" t="str">
        <f>IF(AND('331-CT'!$E$7=TH!H606,OR(L606="331",M606="331")),"331",IF(AND(OR(L606="131",M606="131"),H606='131-CT'!$E$7),"131",""))</f>
        <v/>
      </c>
      <c r="O606" s="89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15"/>
      <c r="AC606" s="560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40"/>
        <v>12</v>
      </c>
      <c r="C607" s="184">
        <f t="shared" si="41"/>
        <v>41979</v>
      </c>
      <c r="D607" s="184" t="s">
        <v>957</v>
      </c>
      <c r="E607" s="191">
        <v>41979</v>
      </c>
      <c r="F607" s="192" t="s">
        <v>806</v>
      </c>
      <c r="G607" s="468" t="s">
        <v>807</v>
      </c>
      <c r="H607" s="193" t="s">
        <v>642</v>
      </c>
      <c r="I607" s="256">
        <v>106</v>
      </c>
      <c r="J607" s="256">
        <v>7200</v>
      </c>
      <c r="K607" s="568">
        <f>ROUND(I607*J607,0)</f>
        <v>763200</v>
      </c>
      <c r="L607" s="569" t="s">
        <v>253</v>
      </c>
      <c r="M607" s="569" t="s">
        <v>177</v>
      </c>
      <c r="N607" s="52" t="str">
        <f>IF(AND('331-CT'!$E$7=TH!H607,OR(L607="331",M607="331")),"331",IF(AND(OR(L607="131",M607="131"),H607='131-CT'!$E$7),"131",""))</f>
        <v/>
      </c>
      <c r="O607" s="89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15"/>
      <c r="AC607" s="211" t="str">
        <f>IF(F607=VLOOKUP(F607,NXT!$C$12:$C$345,1,0),"","x")</f>
        <v/>
      </c>
      <c r="AD607" s="560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40"/>
        <v>12</v>
      </c>
      <c r="C608" s="184">
        <f t="shared" si="41"/>
        <v>41979</v>
      </c>
      <c r="D608" s="184" t="s">
        <v>957</v>
      </c>
      <c r="E608" s="191">
        <v>41979</v>
      </c>
      <c r="F608" s="192" t="s">
        <v>755</v>
      </c>
      <c r="G608" s="468" t="s">
        <v>807</v>
      </c>
      <c r="H608" s="193" t="s">
        <v>642</v>
      </c>
      <c r="I608" s="256">
        <v>493</v>
      </c>
      <c r="J608" s="256">
        <v>5300</v>
      </c>
      <c r="K608" s="568">
        <f>ROUND(I608*J608,0)</f>
        <v>2612900</v>
      </c>
      <c r="L608" s="569" t="s">
        <v>253</v>
      </c>
      <c r="M608" s="569" t="s">
        <v>177</v>
      </c>
      <c r="N608" s="52" t="str">
        <f>IF(AND('331-CT'!$E$7=TH!H608,OR(L608="331",M608="331")),"331",IF(AND(OR(L608="131",M608="131"),H608='131-CT'!$E$7),"131",""))</f>
        <v/>
      </c>
      <c r="O608" s="89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15"/>
      <c r="AC608" s="211" t="str">
        <f>IF(F608=VLOOKUP(F608,NXT!$C$12:$C$345,1,0),"","x")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40"/>
        <v>12</v>
      </c>
      <c r="C609" s="184">
        <f t="shared" si="41"/>
        <v>41979</v>
      </c>
      <c r="D609" s="184" t="s">
        <v>957</v>
      </c>
      <c r="E609" s="191">
        <v>41979</v>
      </c>
      <c r="F609" s="192" t="s">
        <v>808</v>
      </c>
      <c r="G609" s="468" t="s">
        <v>807</v>
      </c>
      <c r="H609" s="193" t="s">
        <v>642</v>
      </c>
      <c r="I609" s="256">
        <v>512</v>
      </c>
      <c r="J609" s="256">
        <v>3900</v>
      </c>
      <c r="K609" s="568">
        <f>ROUND(I609*J609,0)</f>
        <v>1996800</v>
      </c>
      <c r="L609" s="569" t="s">
        <v>253</v>
      </c>
      <c r="M609" s="569" t="s">
        <v>177</v>
      </c>
      <c r="N609" s="52" t="str">
        <f>IF(AND('331-CT'!$E$7=TH!H609,OR(L609="331",M609="331")),"331",IF(AND(OR(L609="131",M609="131"),H609='131-CT'!$E$7),"131",""))</f>
        <v/>
      </c>
      <c r="O609" s="89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15"/>
      <c r="AC609" s="211" t="str">
        <f>IF(F609=VLOOKUP(F609,NXT!$C$12:$C$345,1,0),"","x")</f>
        <v/>
      </c>
      <c r="AD609" s="560"/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40"/>
        <v>12</v>
      </c>
      <c r="C610" s="184">
        <f t="shared" si="41"/>
        <v>41979</v>
      </c>
      <c r="D610" s="184" t="s">
        <v>957</v>
      </c>
      <c r="E610" s="191">
        <v>41979</v>
      </c>
      <c r="F610" s="192" t="s">
        <v>691</v>
      </c>
      <c r="G610" s="468" t="s">
        <v>807</v>
      </c>
      <c r="H610" s="193" t="s">
        <v>642</v>
      </c>
      <c r="I610" s="258">
        <v>208</v>
      </c>
      <c r="J610" s="258">
        <v>5900</v>
      </c>
      <c r="K610" s="568">
        <f>ROUND(I610*J610,0)</f>
        <v>1227200</v>
      </c>
      <c r="L610" s="569" t="s">
        <v>253</v>
      </c>
      <c r="M610" s="569" t="s">
        <v>177</v>
      </c>
      <c r="N610" s="52" t="str">
        <f>IF(AND('331-CT'!$E$7=TH!H610,OR(L610="331",M610="331")),"331",IF(AND(OR(L610="131",M610="131"),H610='131-CT'!$E$7),"131",""))</f>
        <v/>
      </c>
      <c r="O610" s="89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15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40"/>
        <v>12</v>
      </c>
      <c r="C611" s="184">
        <f t="shared" si="41"/>
        <v>41979</v>
      </c>
      <c r="D611" s="184" t="s">
        <v>957</v>
      </c>
      <c r="E611" s="191">
        <v>41979</v>
      </c>
      <c r="F611" s="40" t="s">
        <v>640</v>
      </c>
      <c r="G611" s="468" t="s">
        <v>807</v>
      </c>
      <c r="H611" s="7" t="s">
        <v>642</v>
      </c>
      <c r="I611" s="256">
        <v>1016</v>
      </c>
      <c r="J611" s="256">
        <v>4400</v>
      </c>
      <c r="K611" s="568">
        <f>ROUND(I611*J611,0)</f>
        <v>4470400</v>
      </c>
      <c r="L611" s="569" t="s">
        <v>253</v>
      </c>
      <c r="M611" s="569" t="s">
        <v>177</v>
      </c>
      <c r="N611" s="52" t="str">
        <f>IF(AND('331-CT'!$E$7=TH!H611,OR(L611="331",M611="331")),"331",IF(AND(OR(L611="131",M611="131"),H611='131-CT'!$E$7),"131",""))</f>
        <v/>
      </c>
      <c r="O611" s="89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15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40"/>
        <v>12</v>
      </c>
      <c r="C612" s="184">
        <f t="shared" si="41"/>
        <v>41979</v>
      </c>
      <c r="D612" s="184" t="s">
        <v>957</v>
      </c>
      <c r="E612" s="191">
        <v>41979</v>
      </c>
      <c r="F612" s="192" t="s">
        <v>421</v>
      </c>
      <c r="G612" s="468" t="s">
        <v>807</v>
      </c>
      <c r="H612" s="7" t="s">
        <v>642</v>
      </c>
      <c r="I612" s="256"/>
      <c r="J612" s="256"/>
      <c r="K612" s="568">
        <v>1107050</v>
      </c>
      <c r="L612" s="569" t="s">
        <v>253</v>
      </c>
      <c r="M612" s="569" t="s">
        <v>365</v>
      </c>
      <c r="N612" s="52" t="str">
        <f>IF(AND('331-CT'!$E$7=TH!H612,OR(L612="331",M612="331")),"331",IF(AND(OR(L612="131",M612="131"),H612='131-CT'!$E$7),"131",""))</f>
        <v/>
      </c>
      <c r="O612" s="89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15"/>
      <c r="AC612" s="560" t="str">
        <f>IF(VLOOKUP(H612,DS_131,1,0)&lt;&gt;"","","x")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40"/>
        <v>12</v>
      </c>
      <c r="C613" s="184">
        <f t="shared" si="41"/>
        <v>41981</v>
      </c>
      <c r="D613" s="184" t="s">
        <v>958</v>
      </c>
      <c r="E613" s="191">
        <v>41981</v>
      </c>
      <c r="F613" s="40" t="s">
        <v>516</v>
      </c>
      <c r="G613" s="468" t="s">
        <v>809</v>
      </c>
      <c r="H613" s="7" t="s">
        <v>910</v>
      </c>
      <c r="I613" s="256">
        <v>1015</v>
      </c>
      <c r="J613" s="256">
        <v>12000</v>
      </c>
      <c r="K613" s="568">
        <f>ROUND(I613*J613,0)</f>
        <v>12180000</v>
      </c>
      <c r="L613" s="569" t="s">
        <v>253</v>
      </c>
      <c r="M613" s="569" t="s">
        <v>177</v>
      </c>
      <c r="N613" s="52" t="str">
        <f>IF(AND('331-CT'!$E$7=TH!H613,OR(L613="331",M613="331")),"331",IF(AND(OR(L613="131",M613="131"),H613='131-CT'!$E$7),"131",""))</f>
        <v/>
      </c>
      <c r="O613" s="89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15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40"/>
        <v>12</v>
      </c>
      <c r="C614" s="184">
        <f t="shared" si="41"/>
        <v>41981</v>
      </c>
      <c r="D614" s="184" t="s">
        <v>958</v>
      </c>
      <c r="E614" s="191">
        <v>41981</v>
      </c>
      <c r="F614" s="192" t="s">
        <v>421</v>
      </c>
      <c r="G614" s="468" t="s">
        <v>809</v>
      </c>
      <c r="H614" s="7" t="s">
        <v>910</v>
      </c>
      <c r="I614" s="256"/>
      <c r="J614" s="256"/>
      <c r="K614" s="568">
        <v>1218000</v>
      </c>
      <c r="L614" s="569" t="s">
        <v>253</v>
      </c>
      <c r="M614" s="569" t="s">
        <v>365</v>
      </c>
      <c r="N614" s="52" t="str">
        <f>IF(AND('331-CT'!$E$7=TH!H614,OR(L614="331",M614="331")),"331",IF(AND(OR(L614="131",M614="131"),H614='131-CT'!$E$7),"131",""))</f>
        <v/>
      </c>
      <c r="O614" s="89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15"/>
      <c r="AC614" s="560" t="str">
        <f>IF(VLOOKUP(H614,DS_131,1,0)&lt;&gt;"","","x")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ref="B615:B677" si="43">IF(C615&lt;&gt;"",MONTH(C615),"")</f>
        <v>12</v>
      </c>
      <c r="C615" s="184">
        <f t="shared" ref="C615:C677" si="44">E615</f>
        <v>41982</v>
      </c>
      <c r="D615" s="184" t="s">
        <v>960</v>
      </c>
      <c r="E615" s="191">
        <v>41982</v>
      </c>
      <c r="F615" s="189" t="s">
        <v>437</v>
      </c>
      <c r="G615" s="468" t="s">
        <v>812</v>
      </c>
      <c r="H615" s="7" t="s">
        <v>439</v>
      </c>
      <c r="I615" s="256">
        <v>440</v>
      </c>
      <c r="J615" s="256">
        <v>10500</v>
      </c>
      <c r="K615" s="568">
        <f>ROUND(I615*J615,0)</f>
        <v>4620000</v>
      </c>
      <c r="L615" s="569" t="s">
        <v>253</v>
      </c>
      <c r="M615" s="569" t="s">
        <v>177</v>
      </c>
      <c r="N615" s="52" t="str">
        <f>IF(AND('331-CT'!$E$7=TH!H615,OR(L615="331",M615="331")),"331",IF(AND(OR(L615="131",M615="131"),H615='131-CT'!$E$7),"131",""))</f>
        <v/>
      </c>
      <c r="O615" s="89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15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43"/>
        <v>12</v>
      </c>
      <c r="C616" s="184">
        <f t="shared" si="44"/>
        <v>41982</v>
      </c>
      <c r="D616" s="184" t="s">
        <v>960</v>
      </c>
      <c r="E616" s="191">
        <v>41982</v>
      </c>
      <c r="F616" s="192" t="s">
        <v>421</v>
      </c>
      <c r="G616" s="468" t="s">
        <v>812</v>
      </c>
      <c r="H616" s="7" t="s">
        <v>439</v>
      </c>
      <c r="I616" s="256"/>
      <c r="J616" s="256"/>
      <c r="K616" s="568">
        <v>462000</v>
      </c>
      <c r="L616" s="569" t="s">
        <v>253</v>
      </c>
      <c r="M616" s="569" t="s">
        <v>365</v>
      </c>
      <c r="N616" s="52" t="str">
        <f>IF(AND('331-CT'!$E$7=TH!H616,OR(L616="331",M616="331")),"331",IF(AND(OR(L616="131",M616="131"),H616='131-CT'!$E$7),"131",""))</f>
        <v/>
      </c>
      <c r="O616" s="89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15"/>
      <c r="AC616" s="560" t="str">
        <f>IF(VLOOKUP(H616,DS_131,1,0)&lt;&gt;"","","x")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43"/>
        <v>12</v>
      </c>
      <c r="C617" s="184">
        <f t="shared" si="44"/>
        <v>41985</v>
      </c>
      <c r="D617" s="184" t="s">
        <v>961</v>
      </c>
      <c r="E617" s="191">
        <v>41985</v>
      </c>
      <c r="F617" s="296" t="s">
        <v>484</v>
      </c>
      <c r="G617" s="468" t="s">
        <v>813</v>
      </c>
      <c r="H617" s="7" t="s">
        <v>909</v>
      </c>
      <c r="I617" s="257">
        <v>411</v>
      </c>
      <c r="J617" s="257">
        <v>12900</v>
      </c>
      <c r="K617" s="568">
        <f>ROUND(I617*J617,0)</f>
        <v>5301900</v>
      </c>
      <c r="L617" s="569" t="s">
        <v>253</v>
      </c>
      <c r="M617" s="569" t="s">
        <v>177</v>
      </c>
      <c r="N617" s="52" t="str">
        <f>IF(AND('331-CT'!$E$7=TH!H617,OR(L617="331",M617="331")),"331",IF(AND(OR(L617="131",M617="131"),H617='131-CT'!$E$7),"131",""))</f>
        <v/>
      </c>
      <c r="O617" s="89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15"/>
      <c r="AC617" s="211" t="str">
        <f>IF(F617=VLOOKUP(F617,NXT!$C$12:$C$345,1,0),"","x")</f>
        <v/>
      </c>
      <c r="AD617" s="560"/>
      <c r="AE617" s="560"/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43"/>
        <v>12</v>
      </c>
      <c r="C618" s="184">
        <f t="shared" si="44"/>
        <v>41985</v>
      </c>
      <c r="D618" s="184" t="s">
        <v>961</v>
      </c>
      <c r="E618" s="191">
        <v>41985</v>
      </c>
      <c r="F618" s="192" t="s">
        <v>421</v>
      </c>
      <c r="G618" s="468" t="s">
        <v>813</v>
      </c>
      <c r="H618" s="7" t="s">
        <v>909</v>
      </c>
      <c r="I618" s="256"/>
      <c r="J618" s="256"/>
      <c r="K618" s="38">
        <v>530190</v>
      </c>
      <c r="L618" s="569" t="s">
        <v>253</v>
      </c>
      <c r="M618" s="569" t="s">
        <v>365</v>
      </c>
      <c r="N618" s="52" t="str">
        <f>IF(AND('331-CT'!$E$7=TH!H618,OR(L618="331",M618="331")),"331",IF(AND(OR(L618="131",M618="131"),H618='131-CT'!$E$7),"131",""))</f>
        <v/>
      </c>
      <c r="O618" s="89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15"/>
      <c r="AC618" s="560" t="str">
        <f>IF(VLOOKUP(H618,DS_131,1,0)&lt;&gt;"","","x")</f>
        <v/>
      </c>
      <c r="AD618" s="560"/>
      <c r="AE618" s="560"/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43"/>
        <v>12</v>
      </c>
      <c r="C619" s="184">
        <f t="shared" si="44"/>
        <v>41985</v>
      </c>
      <c r="D619" s="184" t="s">
        <v>962</v>
      </c>
      <c r="E619" s="184">
        <v>41985</v>
      </c>
      <c r="F619" s="189" t="s">
        <v>814</v>
      </c>
      <c r="G619" s="570" t="s">
        <v>815</v>
      </c>
      <c r="H619" s="193" t="s">
        <v>642</v>
      </c>
      <c r="I619" s="256">
        <v>89</v>
      </c>
      <c r="J619" s="256">
        <v>29700</v>
      </c>
      <c r="K619" s="568">
        <f>ROUND(I619*J619,0)</f>
        <v>2643300</v>
      </c>
      <c r="L619" s="569" t="s">
        <v>253</v>
      </c>
      <c r="M619" s="569" t="s">
        <v>177</v>
      </c>
      <c r="N619" s="52" t="str">
        <f>IF(AND('331-CT'!$E$7=TH!H619,OR(L619="331",M619="331")),"331",IF(AND(OR(L619="131",M619="131"),H619='131-CT'!$E$7),"131",""))</f>
        <v/>
      </c>
      <c r="O619" s="89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15"/>
      <c r="AC619" s="211" t="str">
        <f>IF(F619=VLOOKUP(F619,NXT!$C$12:$C$345,1,0),"","x")</f>
        <v/>
      </c>
      <c r="AD619" s="560"/>
      <c r="AE619" s="560"/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43"/>
        <v>12</v>
      </c>
      <c r="C620" s="184">
        <f t="shared" si="44"/>
        <v>41985</v>
      </c>
      <c r="D620" s="184" t="s">
        <v>962</v>
      </c>
      <c r="E620" s="191">
        <v>41985</v>
      </c>
      <c r="F620" s="192" t="s">
        <v>421</v>
      </c>
      <c r="G620" s="468" t="s">
        <v>815</v>
      </c>
      <c r="H620" s="7" t="s">
        <v>642</v>
      </c>
      <c r="I620" s="257"/>
      <c r="J620" s="257"/>
      <c r="K620" s="38">
        <v>264330</v>
      </c>
      <c r="L620" s="569" t="s">
        <v>253</v>
      </c>
      <c r="M620" s="569" t="s">
        <v>365</v>
      </c>
      <c r="N620" s="52" t="str">
        <f>IF(AND('331-CT'!$E$7=TH!H620,OR(L620="331",M620="331")),"331",IF(AND(OR(L620="131",M620="131"),H620='131-CT'!$E$7),"131",""))</f>
        <v/>
      </c>
      <c r="O620" s="89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15"/>
      <c r="AC620" s="560" t="str">
        <f>IF(VLOOKUP(H620,DS_131,1,0)&lt;&gt;"","","x")</f>
        <v/>
      </c>
      <c r="AD620" s="560"/>
      <c r="AE620" s="560"/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43"/>
        <v>12</v>
      </c>
      <c r="C621" s="184">
        <f t="shared" si="44"/>
        <v>41985</v>
      </c>
      <c r="D621" s="184" t="s">
        <v>963</v>
      </c>
      <c r="E621" s="184">
        <v>41985</v>
      </c>
      <c r="F621" s="189" t="s">
        <v>816</v>
      </c>
      <c r="G621" s="570" t="s">
        <v>817</v>
      </c>
      <c r="H621" s="7" t="s">
        <v>722</v>
      </c>
      <c r="I621" s="256">
        <v>350</v>
      </c>
      <c r="J621" s="256">
        <v>47449</v>
      </c>
      <c r="K621" s="568">
        <f>ROUND(I621*J621,0)</f>
        <v>16607150</v>
      </c>
      <c r="L621" s="569" t="s">
        <v>253</v>
      </c>
      <c r="M621" s="569" t="s">
        <v>177</v>
      </c>
      <c r="N621" s="52" t="str">
        <f>IF(AND('331-CT'!$E$7=TH!H621,OR(L621="331",M621="331")),"331",IF(AND(OR(L621="131",M621="131"),H621='131-CT'!$E$7),"131",""))</f>
        <v/>
      </c>
      <c r="O621" s="89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15"/>
      <c r="AC621" s="211" t="str">
        <f>IF(F621=VLOOKUP(F621,NXT!$C$12:$C$345,1,0),"","x")</f>
        <v/>
      </c>
      <c r="AD621" s="560"/>
      <c r="AE621" s="560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43"/>
        <v>12</v>
      </c>
      <c r="C622" s="184">
        <f t="shared" si="44"/>
        <v>41985</v>
      </c>
      <c r="D622" s="184" t="s">
        <v>963</v>
      </c>
      <c r="E622" s="184">
        <v>41985</v>
      </c>
      <c r="F622" s="192" t="s">
        <v>421</v>
      </c>
      <c r="G622" s="570" t="s">
        <v>817</v>
      </c>
      <c r="H622" s="7" t="s">
        <v>722</v>
      </c>
      <c r="I622" s="256"/>
      <c r="J622" s="256"/>
      <c r="K622" s="568">
        <v>1660715</v>
      </c>
      <c r="L622" s="569" t="s">
        <v>253</v>
      </c>
      <c r="M622" s="569" t="s">
        <v>365</v>
      </c>
      <c r="N622" s="52" t="str">
        <f>IF(AND('331-CT'!$E$7=TH!H622,OR(L622="331",M622="331")),"331",IF(AND(OR(L622="131",M622="131"),H622='131-CT'!$E$7),"131",""))</f>
        <v/>
      </c>
      <c r="O622" s="89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15"/>
      <c r="AC622" s="560" t="str">
        <f>IF(VLOOKUP(H622,DS_131,1,0)&lt;&gt;"","","x")</f>
        <v/>
      </c>
      <c r="AD622" s="560"/>
      <c r="AE622" s="560"/>
    </row>
    <row r="623" spans="1:31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43"/>
        <v>12</v>
      </c>
      <c r="C623" s="184">
        <f t="shared" si="44"/>
        <v>41986</v>
      </c>
      <c r="D623" s="184" t="s">
        <v>964</v>
      </c>
      <c r="E623" s="191">
        <v>41986</v>
      </c>
      <c r="F623" s="192" t="s">
        <v>818</v>
      </c>
      <c r="G623" s="468" t="s">
        <v>819</v>
      </c>
      <c r="H623" s="193" t="s">
        <v>439</v>
      </c>
      <c r="I623" s="256">
        <v>223</v>
      </c>
      <c r="J623" s="256">
        <v>10250</v>
      </c>
      <c r="K623" s="568">
        <f>ROUND(I623*J623,0)</f>
        <v>2285750</v>
      </c>
      <c r="L623" s="569" t="s">
        <v>253</v>
      </c>
      <c r="M623" s="569" t="s">
        <v>177</v>
      </c>
      <c r="N623" s="52" t="str">
        <f>IF(AND('331-CT'!$E$7=TH!H623,OR(L623="331",M623="331")),"331",IF(AND(OR(L623="131",M623="131"),H623='131-CT'!$E$7),"131",""))</f>
        <v/>
      </c>
      <c r="O623" s="89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15"/>
      <c r="AC623" s="211" t="str">
        <f>IF(F623=VLOOKUP(F623,NXT!$C$12:$C$345,1,0),"","x")</f>
        <v/>
      </c>
      <c r="AD623" s="560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43"/>
        <v>12</v>
      </c>
      <c r="C624" s="184">
        <f t="shared" si="44"/>
        <v>41986</v>
      </c>
      <c r="D624" s="184" t="s">
        <v>964</v>
      </c>
      <c r="E624" s="191">
        <v>41986</v>
      </c>
      <c r="F624" s="192" t="s">
        <v>421</v>
      </c>
      <c r="G624" s="468" t="s">
        <v>819</v>
      </c>
      <c r="H624" s="193" t="s">
        <v>439</v>
      </c>
      <c r="I624" s="256"/>
      <c r="J624" s="256"/>
      <c r="K624" s="568">
        <v>228575</v>
      </c>
      <c r="L624" s="569" t="s">
        <v>253</v>
      </c>
      <c r="M624" s="569" t="s">
        <v>365</v>
      </c>
      <c r="N624" s="52" t="str">
        <f>IF(AND('331-CT'!$E$7=TH!H624,OR(L624="331",M624="331")),"331",IF(AND(OR(L624="131",M624="131"),H624='131-CT'!$E$7),"131",""))</f>
        <v/>
      </c>
      <c r="O624" s="89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15"/>
      <c r="AC624" s="560" t="str">
        <f>IF(VLOOKUP(H624,DS_131,1,0)&lt;&gt;"","","x")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43"/>
        <v>12</v>
      </c>
      <c r="C625" s="184">
        <f t="shared" si="44"/>
        <v>41986</v>
      </c>
      <c r="D625" s="184" t="s">
        <v>965</v>
      </c>
      <c r="E625" s="191">
        <v>41986</v>
      </c>
      <c r="F625" s="192" t="s">
        <v>820</v>
      </c>
      <c r="G625" s="468" t="s">
        <v>821</v>
      </c>
      <c r="H625" s="193" t="s">
        <v>722</v>
      </c>
      <c r="I625" s="256">
        <v>200</v>
      </c>
      <c r="J625" s="256">
        <v>73100</v>
      </c>
      <c r="K625" s="568">
        <f>ROUND(I625*J625,0)</f>
        <v>14620000</v>
      </c>
      <c r="L625" s="569" t="s">
        <v>253</v>
      </c>
      <c r="M625" s="569" t="s">
        <v>177</v>
      </c>
      <c r="N625" s="52" t="str">
        <f>IF(AND('331-CT'!$E$7=TH!H625,OR(L625="331",M625="331")),"331",IF(AND(OR(L625="131",M625="131"),H625='131-CT'!$E$7),"131",""))</f>
        <v/>
      </c>
      <c r="O625" s="89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15"/>
      <c r="AC625" s="211" t="str">
        <f>IF(F625=VLOOKUP(F625,NXT!$C$12:$C$345,1,0),"","x")</f>
        <v/>
      </c>
      <c r="AD625" s="560"/>
    </row>
    <row r="626" spans="1:31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43"/>
        <v>12</v>
      </c>
      <c r="C626" s="184">
        <f t="shared" si="44"/>
        <v>41986</v>
      </c>
      <c r="D626" s="184" t="s">
        <v>965</v>
      </c>
      <c r="E626" s="191">
        <v>41986</v>
      </c>
      <c r="F626" s="192" t="s">
        <v>421</v>
      </c>
      <c r="G626" s="468" t="s">
        <v>821</v>
      </c>
      <c r="H626" s="193" t="s">
        <v>722</v>
      </c>
      <c r="I626" s="256"/>
      <c r="J626" s="256"/>
      <c r="K626" s="38">
        <v>1462000</v>
      </c>
      <c r="L626" s="569" t="s">
        <v>253</v>
      </c>
      <c r="M626" s="569" t="s">
        <v>365</v>
      </c>
      <c r="N626" s="52" t="str">
        <f>IF(AND('331-CT'!$E$7=TH!H626,OR(L626="331",M626="331")),"331",IF(AND(OR(L626="131",M626="131"),H626='131-CT'!$E$7),"131",""))</f>
        <v/>
      </c>
      <c r="O626" s="89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15"/>
      <c r="AC626" s="560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43"/>
        <v>12</v>
      </c>
      <c r="C627" s="184">
        <f t="shared" si="44"/>
        <v>41986</v>
      </c>
      <c r="D627" s="184" t="s">
        <v>966</v>
      </c>
      <c r="E627" s="191">
        <v>41986</v>
      </c>
      <c r="F627" s="192" t="s">
        <v>704</v>
      </c>
      <c r="G627" s="468" t="s">
        <v>822</v>
      </c>
      <c r="H627" s="7" t="s">
        <v>583</v>
      </c>
      <c r="I627" s="256">
        <v>3160</v>
      </c>
      <c r="J627" s="256">
        <v>7200</v>
      </c>
      <c r="K627" s="568">
        <f>ROUND(I627*J627,0)</f>
        <v>22752000</v>
      </c>
      <c r="L627" s="569" t="s">
        <v>253</v>
      </c>
      <c r="M627" s="569" t="s">
        <v>177</v>
      </c>
      <c r="N627" s="52" t="str">
        <f>IF(AND('331-CT'!$E$7=TH!H627,OR(L627="331",M627="331")),"331",IF(AND(OR(L627="131",M627="131"),H627='131-CT'!$E$7),"131",""))</f>
        <v/>
      </c>
      <c r="O627" s="89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15"/>
      <c r="AC627" s="211" t="str">
        <f>IF(F627=VLOOKUP(F627,NXT!$C$12:$C$345,1,0),"","x")</f>
        <v/>
      </c>
      <c r="AD627" s="560"/>
      <c r="AE627" s="560"/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43"/>
        <v>12</v>
      </c>
      <c r="C628" s="184">
        <f t="shared" si="44"/>
        <v>41986</v>
      </c>
      <c r="D628" s="184" t="s">
        <v>966</v>
      </c>
      <c r="E628" s="191">
        <v>41986</v>
      </c>
      <c r="F628" s="192" t="s">
        <v>709</v>
      </c>
      <c r="G628" s="468" t="s">
        <v>822</v>
      </c>
      <c r="H628" s="7" t="s">
        <v>583</v>
      </c>
      <c r="I628" s="256">
        <v>301</v>
      </c>
      <c r="J628" s="256">
        <v>8750</v>
      </c>
      <c r="K628" s="568">
        <f>ROUND(I628*J628,0)</f>
        <v>2633750</v>
      </c>
      <c r="L628" s="569" t="s">
        <v>253</v>
      </c>
      <c r="M628" s="569" t="s">
        <v>177</v>
      </c>
      <c r="N628" s="52" t="str">
        <f>IF(AND('331-CT'!$E$7=TH!H628,OR(L628="331",M628="331")),"331",IF(AND(OR(L628="131",M628="131"),H628='131-CT'!$E$7),"131",""))</f>
        <v/>
      </c>
      <c r="O628" s="89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15"/>
      <c r="AC628" s="211" t="str">
        <f>IF(F628=VLOOKUP(F628,NXT!$C$12:$C$345,1,0),"","x")</f>
        <v/>
      </c>
      <c r="AE628" s="560"/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43"/>
        <v>12</v>
      </c>
      <c r="C629" s="184">
        <f t="shared" si="44"/>
        <v>41986</v>
      </c>
      <c r="D629" s="184" t="s">
        <v>966</v>
      </c>
      <c r="E629" s="184">
        <v>41986</v>
      </c>
      <c r="F629" s="192" t="s">
        <v>421</v>
      </c>
      <c r="G629" s="570" t="s">
        <v>822</v>
      </c>
      <c r="H629" s="193" t="s">
        <v>583</v>
      </c>
      <c r="I629" s="256"/>
      <c r="J629" s="256"/>
      <c r="K629" s="568">
        <v>2538575</v>
      </c>
      <c r="L629" s="569" t="s">
        <v>253</v>
      </c>
      <c r="M629" s="569" t="s">
        <v>365</v>
      </c>
      <c r="N629" s="52" t="str">
        <f>IF(AND('331-CT'!$E$7=TH!H629,OR(L629="331",M629="331")),"331",IF(AND(OR(L629="131",M629="131"),H629='131-CT'!$E$7),"131",""))</f>
        <v/>
      </c>
      <c r="O629" s="89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15"/>
      <c r="AC629" s="560" t="str">
        <f>IF(VLOOKUP(H629,DS_131,1,0)&lt;&gt;"","","x")</f>
        <v/>
      </c>
      <c r="AD629" s="560"/>
      <c r="AE629" s="560"/>
    </row>
    <row r="630" spans="1:31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43"/>
        <v>12</v>
      </c>
      <c r="C630" s="184">
        <f t="shared" si="44"/>
        <v>41986</v>
      </c>
      <c r="D630" s="184" t="s">
        <v>967</v>
      </c>
      <c r="E630" s="191">
        <v>41986</v>
      </c>
      <c r="F630" s="192" t="s">
        <v>713</v>
      </c>
      <c r="G630" s="468" t="s">
        <v>823</v>
      </c>
      <c r="H630" s="7" t="s">
        <v>603</v>
      </c>
      <c r="I630" s="256">
        <v>20</v>
      </c>
      <c r="J630" s="256">
        <v>13500</v>
      </c>
      <c r="K630" s="568">
        <f>ROUND(I630*J630,0)</f>
        <v>270000</v>
      </c>
      <c r="L630" s="569" t="s">
        <v>253</v>
      </c>
      <c r="M630" s="569" t="s">
        <v>177</v>
      </c>
      <c r="N630" s="52" t="str">
        <f>IF(AND('331-CT'!$E$7=TH!H630,OR(L630="331",M630="331")),"331",IF(AND(OR(L630="131",M630="131"),H630='131-CT'!$E$7),"131",""))</f>
        <v/>
      </c>
      <c r="O630" s="89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15"/>
      <c r="AC630" s="211" t="str">
        <f>IF(F630=VLOOKUP(F630,NXT!$C$12:$C$345,1,0),"","x")</f>
        <v/>
      </c>
      <c r="AE630" s="560"/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43"/>
        <v>12</v>
      </c>
      <c r="C631" s="184">
        <f t="shared" si="44"/>
        <v>41986</v>
      </c>
      <c r="D631" s="184" t="s">
        <v>967</v>
      </c>
      <c r="E631" s="191">
        <v>41986</v>
      </c>
      <c r="F631" s="192" t="s">
        <v>824</v>
      </c>
      <c r="G631" s="468" t="s">
        <v>823</v>
      </c>
      <c r="H631" s="7" t="s">
        <v>603</v>
      </c>
      <c r="I631" s="256">
        <v>47</v>
      </c>
      <c r="J631" s="256">
        <v>13500</v>
      </c>
      <c r="K631" s="568">
        <f>ROUND(I631*J631,0)</f>
        <v>634500</v>
      </c>
      <c r="L631" s="569" t="s">
        <v>253</v>
      </c>
      <c r="M631" s="569" t="s">
        <v>177</v>
      </c>
      <c r="N631" s="52" t="str">
        <f>IF(AND('331-CT'!$E$7=TH!H631,OR(L631="331",M631="331")),"331",IF(AND(OR(L631="131",M631="131"),H631='131-CT'!$E$7),"131",""))</f>
        <v/>
      </c>
      <c r="O631" s="89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15"/>
      <c r="AC631" s="211" t="str">
        <f>IF(F631=VLOOKUP(F631,NXT!$C$12:$C$345,1,0),"","x")</f>
        <v/>
      </c>
      <c r="AD631" s="560"/>
      <c r="AE631" s="560"/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43"/>
        <v>12</v>
      </c>
      <c r="C632" s="184">
        <f t="shared" si="44"/>
        <v>41986</v>
      </c>
      <c r="D632" s="184" t="s">
        <v>967</v>
      </c>
      <c r="E632" s="191">
        <v>41986</v>
      </c>
      <c r="F632" s="192" t="s">
        <v>825</v>
      </c>
      <c r="G632" s="468" t="s">
        <v>823</v>
      </c>
      <c r="H632" s="193" t="s">
        <v>603</v>
      </c>
      <c r="I632" s="256">
        <v>902</v>
      </c>
      <c r="J632" s="256">
        <v>24000</v>
      </c>
      <c r="K632" s="568">
        <f>ROUND(I632*J632,0)</f>
        <v>21648000</v>
      </c>
      <c r="L632" s="569" t="s">
        <v>253</v>
      </c>
      <c r="M632" s="569" t="s">
        <v>177</v>
      </c>
      <c r="N632" s="52" t="str">
        <f>IF(AND('331-CT'!$E$7=TH!H632,OR(L632="331",M632="331")),"331",IF(AND(OR(L632="131",M632="131"),H632='131-CT'!$E$7),"131",""))</f>
        <v/>
      </c>
      <c r="O632" s="89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15"/>
      <c r="AC632" s="211" t="str">
        <f>IF(F632=VLOOKUP(F632,NXT!$C$12:$C$345,1,0),"","x")</f>
        <v/>
      </c>
      <c r="AD632" s="560"/>
      <c r="AE632" s="560"/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43"/>
        <v>12</v>
      </c>
      <c r="C633" s="184">
        <f t="shared" si="44"/>
        <v>41986</v>
      </c>
      <c r="D633" s="184" t="s">
        <v>967</v>
      </c>
      <c r="E633" s="191">
        <v>41986</v>
      </c>
      <c r="F633" s="192" t="s">
        <v>421</v>
      </c>
      <c r="G633" s="468" t="s">
        <v>823</v>
      </c>
      <c r="H633" s="193" t="s">
        <v>603</v>
      </c>
      <c r="I633" s="256"/>
      <c r="J633" s="256"/>
      <c r="K633" s="38">
        <v>2255250</v>
      </c>
      <c r="L633" s="569" t="s">
        <v>253</v>
      </c>
      <c r="M633" s="569" t="s">
        <v>365</v>
      </c>
      <c r="N633" s="52" t="str">
        <f>IF(AND('331-CT'!$E$7=TH!H633,OR(L633="331",M633="331")),"331",IF(AND(OR(L633="131",M633="131"),H633='131-CT'!$E$7),"131",""))</f>
        <v/>
      </c>
      <c r="O633" s="89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15"/>
      <c r="AC633" s="560" t="str">
        <f>IF(VLOOKUP(H633,DS_131,1,0)&lt;&gt;"","","x")</f>
        <v/>
      </c>
      <c r="AD633" s="560"/>
      <c r="AE633" s="560"/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43"/>
        <v>12</v>
      </c>
      <c r="C634" s="184">
        <f t="shared" si="44"/>
        <v>41988</v>
      </c>
      <c r="D634" s="184" t="s">
        <v>968</v>
      </c>
      <c r="E634" s="191">
        <v>41988</v>
      </c>
      <c r="F634" s="189" t="s">
        <v>826</v>
      </c>
      <c r="G634" s="468" t="s">
        <v>827</v>
      </c>
      <c r="H634" s="7" t="s">
        <v>689</v>
      </c>
      <c r="I634" s="256">
        <v>352</v>
      </c>
      <c r="J634" s="256">
        <v>19000</v>
      </c>
      <c r="K634" s="568">
        <f>ROUND(I634*J634,0)</f>
        <v>6688000</v>
      </c>
      <c r="L634" s="569" t="s">
        <v>253</v>
      </c>
      <c r="M634" s="569" t="s">
        <v>177</v>
      </c>
      <c r="N634" s="52" t="str">
        <f>IF(AND('331-CT'!$E$7=TH!H634,OR(L634="331",M634="331")),"331",IF(AND(OR(L634="131",M634="131"),H634='131-CT'!$E$7),"131",""))</f>
        <v/>
      </c>
      <c r="O634" s="89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15"/>
      <c r="AC634" s="211" t="str">
        <f>IF(F634=VLOOKUP(F634,NXT!$C$12:$C$345,1,0),"","x")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43"/>
        <v>12</v>
      </c>
      <c r="C635" s="184">
        <f t="shared" si="44"/>
        <v>41988</v>
      </c>
      <c r="D635" s="184" t="s">
        <v>968</v>
      </c>
      <c r="E635" s="191">
        <v>41988</v>
      </c>
      <c r="F635" s="189" t="s">
        <v>828</v>
      </c>
      <c r="G635" s="468" t="s">
        <v>827</v>
      </c>
      <c r="H635" s="7" t="s">
        <v>689</v>
      </c>
      <c r="I635" s="256">
        <v>52</v>
      </c>
      <c r="J635" s="256">
        <v>24200</v>
      </c>
      <c r="K635" s="568">
        <f>ROUND(I635*J635,0)</f>
        <v>1258400</v>
      </c>
      <c r="L635" s="569" t="s">
        <v>253</v>
      </c>
      <c r="M635" s="569" t="s">
        <v>177</v>
      </c>
      <c r="N635" s="52" t="str">
        <f>IF(AND('331-CT'!$E$7=TH!H635,OR(L635="331",M635="331")),"331",IF(AND(OR(L635="131",M635="131"),H635='131-CT'!$E$7),"131",""))</f>
        <v/>
      </c>
      <c r="O635" s="89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15"/>
      <c r="AC635" s="211" t="str">
        <f>IF(F635=VLOOKUP(F635,NXT!$C$12:$C$345,1,0),"","x")</f>
        <v/>
      </c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43"/>
        <v>12</v>
      </c>
      <c r="C636" s="184">
        <f t="shared" si="44"/>
        <v>41988</v>
      </c>
      <c r="D636" s="184" t="s">
        <v>968</v>
      </c>
      <c r="E636" s="191">
        <v>41988</v>
      </c>
      <c r="F636" s="296" t="s">
        <v>829</v>
      </c>
      <c r="G636" s="468" t="s">
        <v>827</v>
      </c>
      <c r="H636" s="7" t="s">
        <v>689</v>
      </c>
      <c r="I636" s="256">
        <v>52</v>
      </c>
      <c r="J636" s="256">
        <v>27100</v>
      </c>
      <c r="K636" s="568">
        <f>ROUND(I636*J636,0)</f>
        <v>1409200</v>
      </c>
      <c r="L636" s="569" t="s">
        <v>253</v>
      </c>
      <c r="M636" s="569" t="s">
        <v>177</v>
      </c>
      <c r="N636" s="52" t="str">
        <f>IF(AND('331-CT'!$E$7=TH!H636,OR(L636="331",M636="331")),"331",IF(AND(OR(L636="131",M636="131"),H636='131-CT'!$E$7),"131",""))</f>
        <v/>
      </c>
      <c r="O636" s="89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15"/>
      <c r="AC636" s="211" t="str">
        <f>IF(F636=VLOOKUP(F636,NXT!$C$12:$C$345,1,0),"","x")</f>
        <v/>
      </c>
    </row>
    <row r="637" spans="1:31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43"/>
        <v>12</v>
      </c>
      <c r="C637" s="184">
        <f t="shared" si="44"/>
        <v>41988</v>
      </c>
      <c r="D637" s="184" t="s">
        <v>968</v>
      </c>
      <c r="E637" s="191">
        <v>41988</v>
      </c>
      <c r="F637" s="192" t="s">
        <v>421</v>
      </c>
      <c r="G637" s="468" t="s">
        <v>827</v>
      </c>
      <c r="H637" s="7" t="s">
        <v>689</v>
      </c>
      <c r="I637" s="256"/>
      <c r="J637" s="256"/>
      <c r="K637" s="568">
        <v>935560</v>
      </c>
      <c r="L637" s="569" t="s">
        <v>253</v>
      </c>
      <c r="M637" s="569" t="s">
        <v>365</v>
      </c>
      <c r="N637" s="52" t="str">
        <f>IF(AND('331-CT'!$E$7=TH!H637,OR(L637="331",M637="331")),"331",IF(AND(OR(L637="131",M637="131"),H637='131-CT'!$E$7),"131",""))</f>
        <v/>
      </c>
      <c r="O637" s="89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15"/>
      <c r="AC637" s="560" t="str">
        <f>IF(VLOOKUP(H637,DS_131,1,0)&lt;&gt;"","","x")</f>
        <v/>
      </c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43"/>
        <v>12</v>
      </c>
      <c r="C638" s="184">
        <f t="shared" si="44"/>
        <v>41991</v>
      </c>
      <c r="D638" s="184" t="s">
        <v>969</v>
      </c>
      <c r="E638" s="191">
        <v>41991</v>
      </c>
      <c r="F638" s="296" t="s">
        <v>437</v>
      </c>
      <c r="G638" s="468" t="s">
        <v>830</v>
      </c>
      <c r="H638" s="7" t="s">
        <v>439</v>
      </c>
      <c r="I638" s="256">
        <v>522</v>
      </c>
      <c r="J638" s="256">
        <v>10500</v>
      </c>
      <c r="K638" s="568">
        <f>ROUND(I638*J638,0)</f>
        <v>5481000</v>
      </c>
      <c r="L638" s="569" t="s">
        <v>253</v>
      </c>
      <c r="M638" s="569" t="s">
        <v>177</v>
      </c>
      <c r="N638" s="52" t="str">
        <f>IF(AND('331-CT'!$E$7=TH!H638,OR(L638="331",M638="331")),"331",IF(AND(OR(L638="131",M638="131"),H638='131-CT'!$E$7),"131",""))</f>
        <v/>
      </c>
      <c r="O638" s="89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15"/>
      <c r="AC638" s="211" t="str">
        <f>IF(F638=VLOOKUP(F638,NXT!$C$12:$C$345,1,0),"","x")</f>
        <v/>
      </c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3"/>
        <v>12</v>
      </c>
      <c r="C639" s="184">
        <f t="shared" si="44"/>
        <v>41991</v>
      </c>
      <c r="D639" s="184" t="s">
        <v>969</v>
      </c>
      <c r="E639" s="191">
        <v>41991</v>
      </c>
      <c r="F639" s="189" t="s">
        <v>421</v>
      </c>
      <c r="G639" s="468" t="s">
        <v>830</v>
      </c>
      <c r="H639" s="7" t="s">
        <v>439</v>
      </c>
      <c r="I639" s="256"/>
      <c r="J639" s="256"/>
      <c r="K639" s="568">
        <v>548100</v>
      </c>
      <c r="L639" s="569" t="s">
        <v>253</v>
      </c>
      <c r="M639" s="569" t="s">
        <v>365</v>
      </c>
      <c r="N639" s="52" t="str">
        <f>IF(AND('331-CT'!$E$7=TH!H639,OR(L639="331",M639="331")),"331",IF(AND(OR(L639="131",M639="131"),H639='131-CT'!$E$7),"131",""))</f>
        <v/>
      </c>
      <c r="O639" s="89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15"/>
      <c r="AC639" s="560" t="str">
        <f>IF(VLOOKUP(H639,DS_131,1,0)&lt;&gt;"","","x")</f>
        <v/>
      </c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43"/>
        <v>12</v>
      </c>
      <c r="C640" s="184">
        <f t="shared" si="44"/>
        <v>41992</v>
      </c>
      <c r="D640" s="184" t="s">
        <v>970</v>
      </c>
      <c r="E640" s="191">
        <v>41992</v>
      </c>
      <c r="F640" s="189" t="s">
        <v>831</v>
      </c>
      <c r="G640" s="468" t="s">
        <v>832</v>
      </c>
      <c r="H640" s="7" t="s">
        <v>833</v>
      </c>
      <c r="I640" s="256">
        <v>2500</v>
      </c>
      <c r="J640" s="256">
        <v>1934</v>
      </c>
      <c r="K640" s="568">
        <f>ROUND(I640*J640,0)</f>
        <v>4835000</v>
      </c>
      <c r="L640" s="569" t="s">
        <v>253</v>
      </c>
      <c r="M640" s="569" t="s">
        <v>177</v>
      </c>
      <c r="N640" s="52" t="str">
        <f>IF(AND('331-CT'!$E$7=TH!H640,OR(L640="331",M640="331")),"331",IF(AND(OR(L640="131",M640="131"),H640='131-CT'!$E$7),"131",""))</f>
        <v/>
      </c>
      <c r="O640" s="89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15"/>
      <c r="AC640" s="211" t="str">
        <f>IF(F640=VLOOKUP(F640,NXT!$C$12:$C$345,1,0),"","x")</f>
        <v/>
      </c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3"/>
        <v>12</v>
      </c>
      <c r="C641" s="184">
        <f t="shared" si="44"/>
        <v>41992</v>
      </c>
      <c r="D641" s="184" t="s">
        <v>970</v>
      </c>
      <c r="E641" s="191">
        <v>41992</v>
      </c>
      <c r="F641" s="189" t="s">
        <v>834</v>
      </c>
      <c r="G641" s="468" t="s">
        <v>832</v>
      </c>
      <c r="H641" s="7" t="s">
        <v>833</v>
      </c>
      <c r="I641" s="256">
        <v>2200</v>
      </c>
      <c r="J641" s="256">
        <v>4499</v>
      </c>
      <c r="K641" s="568">
        <f>ROUND(I641*J641,0)</f>
        <v>9897800</v>
      </c>
      <c r="L641" s="569" t="s">
        <v>253</v>
      </c>
      <c r="M641" s="569" t="s">
        <v>177</v>
      </c>
      <c r="N641" s="52" t="str">
        <f>IF(AND('331-CT'!$E$7=TH!H641,OR(L641="331",M641="331")),"331",IF(AND(OR(L641="131",M641="131"),H641='131-CT'!$E$7),"131",""))</f>
        <v/>
      </c>
      <c r="O641" s="89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15"/>
      <c r="AC641" s="211" t="str">
        <f>IF(F641=VLOOKUP(F641,NXT!$C$12:$C$345,1,0),"","x")</f>
        <v/>
      </c>
    </row>
    <row r="642" spans="1:31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43"/>
        <v>12</v>
      </c>
      <c r="C642" s="184">
        <f t="shared" si="44"/>
        <v>41992</v>
      </c>
      <c r="D642" s="184" t="s">
        <v>970</v>
      </c>
      <c r="E642" s="191">
        <v>41992</v>
      </c>
      <c r="F642" s="189" t="s">
        <v>651</v>
      </c>
      <c r="G642" s="468" t="s">
        <v>832</v>
      </c>
      <c r="H642" s="7" t="s">
        <v>833</v>
      </c>
      <c r="I642" s="256"/>
      <c r="J642" s="256"/>
      <c r="K642" s="568">
        <v>1473280</v>
      </c>
      <c r="L642" s="569" t="s">
        <v>253</v>
      </c>
      <c r="M642" s="569" t="s">
        <v>365</v>
      </c>
      <c r="N642" s="52" t="str">
        <f>IF(AND('331-CT'!$E$7=TH!H642,OR(L642="331",M642="331")),"331",IF(AND(OR(L642="131",M642="131"),H642='131-CT'!$E$7),"131",""))</f>
        <v/>
      </c>
      <c r="O642" s="89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15"/>
      <c r="AC642" s="560" t="str">
        <f>IF(VLOOKUP(H642,DS_131,1,0)&lt;&gt;"","","x")</f>
        <v/>
      </c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43"/>
        <v>12</v>
      </c>
      <c r="C643" s="184">
        <f t="shared" si="44"/>
        <v>41993</v>
      </c>
      <c r="D643" s="184" t="s">
        <v>971</v>
      </c>
      <c r="E643" s="184">
        <v>41993</v>
      </c>
      <c r="F643" s="189" t="s">
        <v>835</v>
      </c>
      <c r="G643" s="570" t="s">
        <v>836</v>
      </c>
      <c r="H643" s="193" t="s">
        <v>799</v>
      </c>
      <c r="I643" s="256">
        <v>500</v>
      </c>
      <c r="J643" s="256">
        <v>11000</v>
      </c>
      <c r="K643" s="568">
        <f>ROUND(I643*J643,0)</f>
        <v>5500000</v>
      </c>
      <c r="L643" s="569" t="s">
        <v>253</v>
      </c>
      <c r="M643" s="569" t="s">
        <v>177</v>
      </c>
      <c r="N643" s="52" t="str">
        <f>IF(AND('331-CT'!$E$7=TH!H643,OR(L643="331",M643="331")),"331",IF(AND(OR(L643="131",M643="131"),H643='131-CT'!$E$7),"131",""))</f>
        <v/>
      </c>
      <c r="O643" s="89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15"/>
      <c r="AC643" s="211" t="str">
        <f>IF(F643=VLOOKUP(F643,NXT!$C$12:$C$345,1,0),"","x")</f>
        <v/>
      </c>
      <c r="AD643" s="560"/>
      <c r="AE643" s="560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43"/>
        <v>12</v>
      </c>
      <c r="C644" s="184">
        <f t="shared" si="44"/>
        <v>41993</v>
      </c>
      <c r="D644" s="184" t="s">
        <v>971</v>
      </c>
      <c r="E644" s="184">
        <v>41993</v>
      </c>
      <c r="F644" s="189" t="s">
        <v>651</v>
      </c>
      <c r="G644" s="570" t="s">
        <v>836</v>
      </c>
      <c r="H644" s="7" t="s">
        <v>799</v>
      </c>
      <c r="I644" s="256"/>
      <c r="J644" s="256"/>
      <c r="K644" s="568">
        <v>550000</v>
      </c>
      <c r="L644" s="569" t="s">
        <v>253</v>
      </c>
      <c r="M644" s="569" t="s">
        <v>365</v>
      </c>
      <c r="N644" s="52" t="str">
        <f>IF(AND('331-CT'!$E$7=TH!H644,OR(L644="331",M644="331")),"331",IF(AND(OR(L644="131",M644="131"),H644='131-CT'!$E$7),"131",""))</f>
        <v/>
      </c>
      <c r="O644" s="89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15"/>
      <c r="AC644" s="560" t="str">
        <f>IF(VLOOKUP(H644,DS_131,1,0)&lt;&gt;"","","x")</f>
        <v/>
      </c>
      <c r="AE644" s="560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43"/>
        <v>12</v>
      </c>
      <c r="C645" s="184">
        <f t="shared" si="44"/>
        <v>41993</v>
      </c>
      <c r="D645" s="184" t="s">
        <v>972</v>
      </c>
      <c r="E645" s="184">
        <v>41993</v>
      </c>
      <c r="F645" s="189" t="s">
        <v>837</v>
      </c>
      <c r="G645" s="570" t="s">
        <v>838</v>
      </c>
      <c r="H645" s="7" t="s">
        <v>839</v>
      </c>
      <c r="I645" s="256">
        <v>213</v>
      </c>
      <c r="J645" s="256">
        <v>15500</v>
      </c>
      <c r="K645" s="568">
        <f>ROUND(I645*J645,0)</f>
        <v>3301500</v>
      </c>
      <c r="L645" s="569" t="s">
        <v>253</v>
      </c>
      <c r="M645" s="569" t="s">
        <v>177</v>
      </c>
      <c r="N645" s="52" t="str">
        <f>IF(AND('331-CT'!$E$7=TH!H645,OR(L645="331",M645="331")),"331",IF(AND(OR(L645="131",M645="131"),H645='131-CT'!$E$7),"131",""))</f>
        <v/>
      </c>
      <c r="O645" s="89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15"/>
      <c r="AC645" s="211" t="str">
        <f>IF(F645=VLOOKUP(F645,NXT!$C$12:$C$345,1,0),"","x")</f>
        <v/>
      </c>
      <c r="AE645" s="560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43"/>
        <v>12</v>
      </c>
      <c r="C646" s="184">
        <f t="shared" si="44"/>
        <v>41993</v>
      </c>
      <c r="D646" s="184" t="s">
        <v>972</v>
      </c>
      <c r="E646" s="184">
        <v>41993</v>
      </c>
      <c r="F646" s="189" t="s">
        <v>421</v>
      </c>
      <c r="G646" s="570" t="s">
        <v>838</v>
      </c>
      <c r="H646" s="7" t="s">
        <v>839</v>
      </c>
      <c r="I646" s="256"/>
      <c r="J646" s="256"/>
      <c r="K646" s="568">
        <v>330150</v>
      </c>
      <c r="L646" s="569" t="s">
        <v>253</v>
      </c>
      <c r="M646" s="569" t="s">
        <v>365</v>
      </c>
      <c r="N646" s="52" t="str">
        <f>IF(AND('331-CT'!$E$7=TH!H646,OR(L646="331",M646="331")),"331",IF(AND(OR(L646="131",M646="131"),H646='131-CT'!$E$7),"131",""))</f>
        <v/>
      </c>
      <c r="O646" s="89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15"/>
      <c r="AC646" s="560" t="str">
        <f>IF(VLOOKUP(H646,DS_131,1,0)&lt;&gt;"","","x")</f>
        <v/>
      </c>
      <c r="AD646" s="560"/>
      <c r="AE646" s="560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43"/>
        <v>12</v>
      </c>
      <c r="C647" s="184">
        <f t="shared" si="44"/>
        <v>41995</v>
      </c>
      <c r="D647" s="184" t="s">
        <v>973</v>
      </c>
      <c r="E647" s="191">
        <v>41995</v>
      </c>
      <c r="F647" s="189" t="s">
        <v>1211</v>
      </c>
      <c r="G647" s="468" t="s">
        <v>840</v>
      </c>
      <c r="H647" s="7" t="s">
        <v>908</v>
      </c>
      <c r="I647" s="256">
        <v>819</v>
      </c>
      <c r="J647" s="256">
        <v>14300</v>
      </c>
      <c r="K647" s="568">
        <f>ROUND(I647*J647,0)</f>
        <v>11711700</v>
      </c>
      <c r="L647" s="569" t="s">
        <v>253</v>
      </c>
      <c r="M647" s="569" t="s">
        <v>177</v>
      </c>
      <c r="N647" s="52" t="str">
        <f>IF(AND('331-CT'!$E$7=TH!H647,OR(L647="331",M647="331")),"331",IF(AND(OR(L647="131",M647="131"),H647='131-CT'!$E$7),"131",""))</f>
        <v/>
      </c>
      <c r="O647" s="89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15"/>
      <c r="AC647" s="211" t="str">
        <f>IF(F647=VLOOKUP(F647,NXT!$C$12:$C$345,1,0),"","x")</f>
        <v/>
      </c>
      <c r="AE647" s="560"/>
    </row>
    <row r="648" spans="1:31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43"/>
        <v>12</v>
      </c>
      <c r="C648" s="184">
        <f t="shared" si="44"/>
        <v>41995</v>
      </c>
      <c r="D648" s="184" t="s">
        <v>973</v>
      </c>
      <c r="E648" s="191">
        <v>41995</v>
      </c>
      <c r="F648" s="40" t="s">
        <v>446</v>
      </c>
      <c r="G648" s="468" t="s">
        <v>840</v>
      </c>
      <c r="H648" s="7" t="s">
        <v>908</v>
      </c>
      <c r="I648" s="256">
        <v>1638</v>
      </c>
      <c r="J648" s="256">
        <v>1500</v>
      </c>
      <c r="K648" s="568">
        <f>ROUND(I648*J648,0)</f>
        <v>2457000</v>
      </c>
      <c r="L648" s="569" t="s">
        <v>253</v>
      </c>
      <c r="M648" s="569" t="s">
        <v>177</v>
      </c>
      <c r="N648" s="52" t="str">
        <f>IF(AND('331-CT'!$E$7=TH!H648,OR(L648="331",M648="331")),"331",IF(AND(OR(L648="131",M648="131"),H648='131-CT'!$E$7),"131",""))</f>
        <v/>
      </c>
      <c r="O648" s="89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15"/>
      <c r="AC648" s="211" t="str">
        <f>IF(F648=VLOOKUP(F648,NXT!$C$12:$C$345,1,0),"","x")</f>
        <v/>
      </c>
      <c r="AE648" s="560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43"/>
        <v>12</v>
      </c>
      <c r="C649" s="184">
        <f t="shared" si="44"/>
        <v>41995</v>
      </c>
      <c r="D649" s="184" t="s">
        <v>973</v>
      </c>
      <c r="E649" s="191">
        <v>41995</v>
      </c>
      <c r="F649" s="189" t="s">
        <v>421</v>
      </c>
      <c r="G649" s="468" t="s">
        <v>840</v>
      </c>
      <c r="H649" s="7" t="s">
        <v>908</v>
      </c>
      <c r="I649" s="256"/>
      <c r="J649" s="256"/>
      <c r="K649" s="568">
        <v>1416870</v>
      </c>
      <c r="L649" s="569" t="s">
        <v>253</v>
      </c>
      <c r="M649" s="569" t="s">
        <v>365</v>
      </c>
      <c r="N649" s="52" t="str">
        <f>IF(AND('331-CT'!$E$7=TH!H649,OR(L649="331",M649="331")),"331",IF(AND(OR(L649="131",M649="131"),H649='131-CT'!$E$7),"131",""))</f>
        <v/>
      </c>
      <c r="O649" s="89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15"/>
      <c r="AC649" s="560" t="str">
        <f>IF(VLOOKUP(H649,DS_131,1,0)&lt;&gt;"","","x")</f>
        <v/>
      </c>
      <c r="AD649" s="560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43"/>
        <v>12</v>
      </c>
      <c r="C650" s="184">
        <f t="shared" si="44"/>
        <v>41997</v>
      </c>
      <c r="D650" s="184" t="s">
        <v>974</v>
      </c>
      <c r="E650" s="191">
        <v>41997</v>
      </c>
      <c r="F650" s="189" t="s">
        <v>742</v>
      </c>
      <c r="G650" s="468" t="s">
        <v>841</v>
      </c>
      <c r="H650" s="7" t="s">
        <v>420</v>
      </c>
      <c r="I650" s="256">
        <v>517</v>
      </c>
      <c r="J650" s="256">
        <v>5400</v>
      </c>
      <c r="K650" s="568">
        <f>ROUND(I650*J650,0)</f>
        <v>2791800</v>
      </c>
      <c r="L650" s="569" t="s">
        <v>253</v>
      </c>
      <c r="M650" s="569" t="s">
        <v>177</v>
      </c>
      <c r="N650" s="52" t="str">
        <f>IF(AND('331-CT'!$E$7=TH!H650,OR(L650="331",M650="331")),"331",IF(AND(OR(L650="131",M650="131"),H650='131-CT'!$E$7),"131",""))</f>
        <v/>
      </c>
      <c r="O650" s="89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15"/>
      <c r="AC650" s="211" t="str">
        <f>IF(F650=VLOOKUP(F650,NXT!$C$12:$C$345,1,0),"","x")</f>
        <v/>
      </c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43"/>
        <v>12</v>
      </c>
      <c r="C651" s="184">
        <f t="shared" si="44"/>
        <v>41997</v>
      </c>
      <c r="D651" s="184" t="s">
        <v>974</v>
      </c>
      <c r="E651" s="191">
        <v>41997</v>
      </c>
      <c r="F651" s="189" t="s">
        <v>421</v>
      </c>
      <c r="G651" s="468" t="s">
        <v>841</v>
      </c>
      <c r="H651" s="7" t="s">
        <v>420</v>
      </c>
      <c r="I651" s="256"/>
      <c r="J651" s="256"/>
      <c r="K651" s="568">
        <v>279180</v>
      </c>
      <c r="L651" s="569" t="s">
        <v>253</v>
      </c>
      <c r="M651" s="569" t="s">
        <v>365</v>
      </c>
      <c r="N651" s="52" t="str">
        <f>IF(AND('331-CT'!$E$7=TH!H651,OR(L651="331",M651="331")),"331",IF(AND(OR(L651="131",M651="131"),H651='131-CT'!$E$7),"131",""))</f>
        <v/>
      </c>
      <c r="O651" s="89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15"/>
      <c r="AC651" s="560" t="str">
        <f>IF(VLOOKUP(H651,DS_131,1,0)&lt;&gt;"","","x")</f>
        <v/>
      </c>
      <c r="AD651" s="560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43"/>
        <v>12</v>
      </c>
      <c r="C652" s="184">
        <f t="shared" si="44"/>
        <v>41997</v>
      </c>
      <c r="D652" s="184" t="s">
        <v>975</v>
      </c>
      <c r="E652" s="191">
        <v>41997</v>
      </c>
      <c r="F652" s="189" t="s">
        <v>842</v>
      </c>
      <c r="G652" s="468" t="s">
        <v>843</v>
      </c>
      <c r="H652" s="7" t="s">
        <v>685</v>
      </c>
      <c r="I652" s="256">
        <v>701</v>
      </c>
      <c r="J652" s="256">
        <v>18000</v>
      </c>
      <c r="K652" s="568">
        <f>ROUND(I652*J652,0)</f>
        <v>12618000</v>
      </c>
      <c r="L652" s="569" t="s">
        <v>253</v>
      </c>
      <c r="M652" s="569" t="s">
        <v>177</v>
      </c>
      <c r="N652" s="52" t="str">
        <f>IF(AND('331-CT'!$E$7=TH!H652,OR(L652="331",M652="331")),"331",IF(AND(OR(L652="131",M652="131"),H652='131-CT'!$E$7),"131",""))</f>
        <v/>
      </c>
      <c r="O652" s="89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15"/>
      <c r="AC652" s="211" t="str">
        <f>IF(F652=VLOOKUP(F652,NXT!$C$12:$C$345,1,0),"","x")</f>
        <v/>
      </c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43"/>
        <v>12</v>
      </c>
      <c r="C653" s="184">
        <f t="shared" si="44"/>
        <v>41997</v>
      </c>
      <c r="D653" s="184" t="s">
        <v>975</v>
      </c>
      <c r="E653" s="191">
        <v>41997</v>
      </c>
      <c r="F653" s="189" t="s">
        <v>844</v>
      </c>
      <c r="G653" s="468" t="s">
        <v>843</v>
      </c>
      <c r="H653" s="7" t="s">
        <v>685</v>
      </c>
      <c r="I653" s="256">
        <v>59</v>
      </c>
      <c r="J653" s="256">
        <v>32000</v>
      </c>
      <c r="K653" s="568">
        <f>ROUND(I653*J653,0)</f>
        <v>1888000</v>
      </c>
      <c r="L653" s="569" t="s">
        <v>253</v>
      </c>
      <c r="M653" s="569" t="s">
        <v>177</v>
      </c>
      <c r="N653" s="52" t="str">
        <f>IF(AND('331-CT'!$E$7=TH!H653,OR(L653="331",M653="331")),"331",IF(AND(OR(L653="131",M653="131"),H653='131-CT'!$E$7),"131",""))</f>
        <v/>
      </c>
      <c r="O653" s="89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15"/>
      <c r="AC653" s="211" t="str">
        <f>IF(F653=VLOOKUP(F653,NXT!$C$12:$C$345,1,0),"","x")</f>
        <v/>
      </c>
      <c r="AD653" s="560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43"/>
        <v>12</v>
      </c>
      <c r="C654" s="184">
        <f t="shared" si="44"/>
        <v>41997</v>
      </c>
      <c r="D654" s="184" t="s">
        <v>975</v>
      </c>
      <c r="E654" s="191">
        <v>41997</v>
      </c>
      <c r="F654" s="189" t="s">
        <v>1206</v>
      </c>
      <c r="G654" s="468" t="s">
        <v>843</v>
      </c>
      <c r="H654" s="7" t="s">
        <v>685</v>
      </c>
      <c r="I654" s="257">
        <v>1402</v>
      </c>
      <c r="J654" s="256">
        <v>1023</v>
      </c>
      <c r="K654" s="568">
        <f>ROUND(I654*J654,0)</f>
        <v>1434246</v>
      </c>
      <c r="L654" s="569" t="s">
        <v>253</v>
      </c>
      <c r="M654" s="569" t="s">
        <v>177</v>
      </c>
      <c r="N654" s="52" t="str">
        <f>IF(AND('331-CT'!$E$7=TH!H654,OR(L654="331",M654="331")),"331",IF(AND(OR(L654="131",M654="131"),H654='131-CT'!$E$7),"131",""))</f>
        <v/>
      </c>
      <c r="O654" s="89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15"/>
      <c r="AC654" s="211" t="str">
        <f>IF(F654=VLOOKUP(F654,NXT!$C$12:$C$345,1,0),"","x")</f>
        <v/>
      </c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43"/>
        <v>12</v>
      </c>
      <c r="C655" s="184">
        <f t="shared" si="44"/>
        <v>41997</v>
      </c>
      <c r="D655" s="184" t="s">
        <v>975</v>
      </c>
      <c r="E655" s="191">
        <v>41997</v>
      </c>
      <c r="F655" s="189" t="s">
        <v>1207</v>
      </c>
      <c r="G655" s="468" t="s">
        <v>843</v>
      </c>
      <c r="H655" s="7" t="s">
        <v>685</v>
      </c>
      <c r="I655" s="256">
        <v>118</v>
      </c>
      <c r="J655" s="256">
        <v>2322</v>
      </c>
      <c r="K655" s="568">
        <f>ROUND(I655*J655,0)</f>
        <v>273996</v>
      </c>
      <c r="L655" s="569" t="s">
        <v>253</v>
      </c>
      <c r="M655" s="569" t="s">
        <v>177</v>
      </c>
      <c r="N655" s="52" t="str">
        <f>IF(AND('331-CT'!$E$7=TH!H655,OR(L655="331",M655="331")),"331",IF(AND(OR(L655="131",M655="131"),H655='131-CT'!$E$7),"131",""))</f>
        <v/>
      </c>
      <c r="O655" s="89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15"/>
      <c r="AC655" s="211" t="str">
        <f>IF(F655=VLOOKUP(F655,NXT!$C$12:$C$345,1,0),"","x")</f>
        <v/>
      </c>
    </row>
    <row r="656" spans="1:31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43"/>
        <v>12</v>
      </c>
      <c r="C656" s="184">
        <f t="shared" si="44"/>
        <v>41997</v>
      </c>
      <c r="D656" s="184" t="s">
        <v>975</v>
      </c>
      <c r="E656" s="191">
        <v>41997</v>
      </c>
      <c r="F656" s="40" t="s">
        <v>421</v>
      </c>
      <c r="G656" s="468" t="s">
        <v>843</v>
      </c>
      <c r="H656" s="7" t="s">
        <v>685</v>
      </c>
      <c r="I656" s="256"/>
      <c r="J656" s="256"/>
      <c r="K656" s="568">
        <v>1621424</v>
      </c>
      <c r="L656" s="569" t="s">
        <v>253</v>
      </c>
      <c r="M656" s="569" t="s">
        <v>365</v>
      </c>
      <c r="N656" s="52" t="str">
        <f>IF(AND('331-CT'!$E$7=TH!H656,OR(L656="331",M656="331")),"331",IF(AND(OR(L656="131",M656="131"),H656='131-CT'!$E$7),"131",""))</f>
        <v/>
      </c>
      <c r="O656" s="89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15"/>
      <c r="AC656" s="560" t="str">
        <f>IF(VLOOKUP(H656,DS_131,1,0)&lt;&gt;"","","x")</f>
        <v/>
      </c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43"/>
        <v>12</v>
      </c>
      <c r="C657" s="184">
        <f t="shared" si="44"/>
        <v>41997</v>
      </c>
      <c r="D657" s="184" t="s">
        <v>976</v>
      </c>
      <c r="E657" s="191">
        <v>41997</v>
      </c>
      <c r="F657" s="40" t="s">
        <v>845</v>
      </c>
      <c r="G657" s="468" t="s">
        <v>846</v>
      </c>
      <c r="H657" s="7" t="s">
        <v>847</v>
      </c>
      <c r="I657" s="256">
        <v>42</v>
      </c>
      <c r="J657" s="256">
        <v>7018</v>
      </c>
      <c r="K657" s="568">
        <f t="shared" ref="K657:K666" si="45">ROUND(I657*J657,0)</f>
        <v>294756</v>
      </c>
      <c r="L657" s="569" t="s">
        <v>253</v>
      </c>
      <c r="M657" s="569" t="s">
        <v>177</v>
      </c>
      <c r="N657" s="52" t="str">
        <f>IF(AND('331-CT'!$E$7=TH!H657,OR(L657="331",M657="331")),"331",IF(AND(OR(L657="131",M657="131"),H657='131-CT'!$E$7),"131",""))</f>
        <v/>
      </c>
      <c r="O657" s="89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15"/>
      <c r="AC657" s="211" t="str">
        <f>IF(F657=VLOOKUP(F657,NXT!$C$12:$C$345,1,0),"","x")</f>
        <v/>
      </c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43"/>
        <v>12</v>
      </c>
      <c r="C658" s="184">
        <f t="shared" si="44"/>
        <v>41997</v>
      </c>
      <c r="D658" s="184" t="s">
        <v>976</v>
      </c>
      <c r="E658" s="191">
        <v>41997</v>
      </c>
      <c r="F658" s="189" t="s">
        <v>848</v>
      </c>
      <c r="G658" s="468" t="s">
        <v>846</v>
      </c>
      <c r="H658" s="7" t="s">
        <v>847</v>
      </c>
      <c r="I658" s="256">
        <v>137</v>
      </c>
      <c r="J658" s="256">
        <v>8946</v>
      </c>
      <c r="K658" s="568">
        <f t="shared" si="45"/>
        <v>1225602</v>
      </c>
      <c r="L658" s="569" t="s">
        <v>253</v>
      </c>
      <c r="M658" s="569" t="s">
        <v>177</v>
      </c>
      <c r="N658" s="52" t="str">
        <f>IF(AND('331-CT'!$E$7=TH!H658,OR(L658="331",M658="331")),"331",IF(AND(OR(L658="131",M658="131"),H658='131-CT'!$E$7),"131",""))</f>
        <v/>
      </c>
      <c r="O658" s="89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15"/>
      <c r="AC658" s="211" t="str">
        <f>IF(F658=VLOOKUP(F658,NXT!$C$12:$C$345,1,0),"","x")</f>
        <v/>
      </c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43"/>
        <v>12</v>
      </c>
      <c r="C659" s="184">
        <f t="shared" si="44"/>
        <v>41997</v>
      </c>
      <c r="D659" s="184" t="s">
        <v>976</v>
      </c>
      <c r="E659" s="191">
        <v>41997</v>
      </c>
      <c r="F659" s="296" t="s">
        <v>849</v>
      </c>
      <c r="G659" s="468" t="s">
        <v>846</v>
      </c>
      <c r="H659" s="7" t="s">
        <v>847</v>
      </c>
      <c r="I659" s="256">
        <v>44</v>
      </c>
      <c r="J659" s="256">
        <v>9191</v>
      </c>
      <c r="K659" s="568">
        <f t="shared" si="45"/>
        <v>404404</v>
      </c>
      <c r="L659" s="569" t="s">
        <v>253</v>
      </c>
      <c r="M659" s="569" t="s">
        <v>177</v>
      </c>
      <c r="N659" s="52" t="str">
        <f>IF(AND('331-CT'!$E$7=TH!H659,OR(L659="331",M659="331")),"331",IF(AND(OR(L659="131",M659="131"),H659='131-CT'!$E$7),"131",""))</f>
        <v/>
      </c>
      <c r="O659" s="89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15"/>
      <c r="AC659" s="211" t="str">
        <f>IF(F659=VLOOKUP(F659,NXT!$C$12:$C$345,1,0),"","x")</f>
        <v/>
      </c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43"/>
        <v>12</v>
      </c>
      <c r="C660" s="184">
        <f t="shared" si="44"/>
        <v>41997</v>
      </c>
      <c r="D660" s="184" t="s">
        <v>976</v>
      </c>
      <c r="E660" s="191">
        <v>41997</v>
      </c>
      <c r="F660" s="189" t="s">
        <v>850</v>
      </c>
      <c r="G660" s="468" t="s">
        <v>846</v>
      </c>
      <c r="H660" s="7" t="s">
        <v>847</v>
      </c>
      <c r="I660" s="256">
        <v>966</v>
      </c>
      <c r="J660" s="256">
        <v>9572</v>
      </c>
      <c r="K660" s="568">
        <f t="shared" si="45"/>
        <v>9246552</v>
      </c>
      <c r="L660" s="569" t="s">
        <v>253</v>
      </c>
      <c r="M660" s="569" t="s">
        <v>177</v>
      </c>
      <c r="N660" s="52" t="str">
        <f>IF(AND('331-CT'!$E$7=TH!H660,OR(L660="331",M660="331")),"331",IF(AND(OR(L660="131",M660="131"),H660='131-CT'!$E$7),"131",""))</f>
        <v/>
      </c>
      <c r="O660" s="89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15"/>
      <c r="AC660" s="211" t="str">
        <f>IF(F660=VLOOKUP(F660,NXT!$C$12:$C$345,1,0),"","x")</f>
        <v/>
      </c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43"/>
        <v>12</v>
      </c>
      <c r="C661" s="184">
        <f t="shared" si="44"/>
        <v>41997</v>
      </c>
      <c r="D661" s="184" t="s">
        <v>976</v>
      </c>
      <c r="E661" s="191">
        <v>41997</v>
      </c>
      <c r="F661" s="189" t="s">
        <v>851</v>
      </c>
      <c r="G661" s="468" t="s">
        <v>846</v>
      </c>
      <c r="H661" s="7" t="s">
        <v>847</v>
      </c>
      <c r="I661" s="256">
        <v>105</v>
      </c>
      <c r="J661" s="256">
        <v>12019</v>
      </c>
      <c r="K661" s="568">
        <f t="shared" si="45"/>
        <v>1261995</v>
      </c>
      <c r="L661" s="569" t="s">
        <v>253</v>
      </c>
      <c r="M661" s="569" t="s">
        <v>177</v>
      </c>
      <c r="N661" s="52" t="str">
        <f>IF(AND('331-CT'!$E$7=TH!H661,OR(L661="331",M661="331")),"331",IF(AND(OR(L661="131",M661="131"),H661='131-CT'!$E$7),"131",""))</f>
        <v/>
      </c>
      <c r="O661" s="89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15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43"/>
        <v>12</v>
      </c>
      <c r="C662" s="184">
        <f t="shared" si="44"/>
        <v>41997</v>
      </c>
      <c r="D662" s="184" t="s">
        <v>976</v>
      </c>
      <c r="E662" s="191">
        <v>41997</v>
      </c>
      <c r="F662" s="189" t="s">
        <v>852</v>
      </c>
      <c r="G662" s="468" t="s">
        <v>846</v>
      </c>
      <c r="H662" s="7" t="s">
        <v>847</v>
      </c>
      <c r="I662" s="256">
        <v>25</v>
      </c>
      <c r="J662" s="256">
        <v>12203</v>
      </c>
      <c r="K662" s="568">
        <f t="shared" si="45"/>
        <v>305075</v>
      </c>
      <c r="L662" s="569" t="s">
        <v>253</v>
      </c>
      <c r="M662" s="569" t="s">
        <v>177</v>
      </c>
      <c r="N662" s="52" t="str">
        <f>IF(AND('331-CT'!$E$7=TH!H662,OR(L662="331",M662="331")),"331",IF(AND(OR(L662="131",M662="131"),H662='131-CT'!$E$7),"131",""))</f>
        <v/>
      </c>
      <c r="O662" s="89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15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43"/>
        <v>12</v>
      </c>
      <c r="C663" s="184">
        <f t="shared" si="44"/>
        <v>41997</v>
      </c>
      <c r="D663" s="184" t="s">
        <v>976</v>
      </c>
      <c r="E663" s="184">
        <v>41997</v>
      </c>
      <c r="F663" s="189" t="s">
        <v>853</v>
      </c>
      <c r="G663" s="570" t="s">
        <v>846</v>
      </c>
      <c r="H663" s="193" t="s">
        <v>847</v>
      </c>
      <c r="I663" s="256">
        <v>104</v>
      </c>
      <c r="J663" s="256">
        <v>13450</v>
      </c>
      <c r="K663" s="568">
        <f t="shared" si="45"/>
        <v>1398800</v>
      </c>
      <c r="L663" s="569" t="s">
        <v>253</v>
      </c>
      <c r="M663" s="569" t="s">
        <v>177</v>
      </c>
      <c r="N663" s="52" t="str">
        <f>IF(AND('331-CT'!$E$7=TH!H663,OR(L663="331",M663="331")),"331",IF(AND(OR(L663="131",M663="131"),H663='131-CT'!$E$7),"131",""))</f>
        <v/>
      </c>
      <c r="O663" s="89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15"/>
      <c r="AC663" s="211" t="str">
        <f>IF(F663=VLOOKUP(F663,NXT!$C$12:$C$345,1,0),"","x")</f>
        <v/>
      </c>
      <c r="AD663" s="560"/>
      <c r="AE663" s="560"/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43"/>
        <v>12</v>
      </c>
      <c r="C664" s="184">
        <f t="shared" si="44"/>
        <v>41997</v>
      </c>
      <c r="D664" s="184" t="s">
        <v>976</v>
      </c>
      <c r="E664" s="184">
        <v>41997</v>
      </c>
      <c r="F664" s="189" t="s">
        <v>854</v>
      </c>
      <c r="G664" s="570" t="s">
        <v>846</v>
      </c>
      <c r="H664" s="7" t="s">
        <v>847</v>
      </c>
      <c r="I664" s="256">
        <v>108</v>
      </c>
      <c r="J664" s="256">
        <v>14599</v>
      </c>
      <c r="K664" s="568">
        <f t="shared" si="45"/>
        <v>1576692</v>
      </c>
      <c r="L664" s="569" t="s">
        <v>253</v>
      </c>
      <c r="M664" s="569" t="s">
        <v>177</v>
      </c>
      <c r="N664" s="52" t="str">
        <f>IF(AND('331-CT'!$E$7=TH!H664,OR(L664="331",M664="331")),"331",IF(AND(OR(L664="131",M664="131"),H664='131-CT'!$E$7),"131",""))</f>
        <v/>
      </c>
      <c r="O664" s="89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15"/>
      <c r="AC664" s="211" t="str">
        <f>IF(F664=VLOOKUP(F664,NXT!$C$12:$C$345,1,0),"","x")</f>
        <v/>
      </c>
      <c r="AD664" s="560"/>
      <c r="AE664" s="560"/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43"/>
        <v>12</v>
      </c>
      <c r="C665" s="184">
        <f t="shared" si="44"/>
        <v>41997</v>
      </c>
      <c r="D665" s="184" t="s">
        <v>976</v>
      </c>
      <c r="E665" s="191">
        <v>41997</v>
      </c>
      <c r="F665" s="189" t="s">
        <v>855</v>
      </c>
      <c r="G665" s="468" t="s">
        <v>846</v>
      </c>
      <c r="H665" s="7" t="s">
        <v>847</v>
      </c>
      <c r="I665" s="256">
        <v>32</v>
      </c>
      <c r="J665" s="256">
        <v>16022</v>
      </c>
      <c r="K665" s="568">
        <f t="shared" si="45"/>
        <v>512704</v>
      </c>
      <c r="L665" s="569" t="s">
        <v>253</v>
      </c>
      <c r="M665" s="569" t="s">
        <v>177</v>
      </c>
      <c r="N665" s="52" t="str">
        <f>IF(AND('331-CT'!$E$7=TH!H665,OR(L665="331",M665="331")),"331",IF(AND(OR(L665="131",M665="131"),H665='131-CT'!$E$7),"131",""))</f>
        <v/>
      </c>
      <c r="O665" s="89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15"/>
      <c r="AC665" s="211" t="str">
        <f>IF(F665=VLOOKUP(F665,NXT!$C$12:$C$345,1,0),"","x")</f>
        <v/>
      </c>
    </row>
    <row r="666" spans="1:31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43"/>
        <v>12</v>
      </c>
      <c r="C666" s="184">
        <f t="shared" si="44"/>
        <v>41997</v>
      </c>
      <c r="D666" s="184" t="s">
        <v>976</v>
      </c>
      <c r="E666" s="191">
        <v>41997</v>
      </c>
      <c r="F666" s="189" t="s">
        <v>856</v>
      </c>
      <c r="G666" s="468" t="s">
        <v>846</v>
      </c>
      <c r="H666" s="7" t="s">
        <v>847</v>
      </c>
      <c r="I666" s="256">
        <v>63</v>
      </c>
      <c r="J666" s="256">
        <v>17415</v>
      </c>
      <c r="K666" s="568">
        <f t="shared" si="45"/>
        <v>1097145</v>
      </c>
      <c r="L666" s="569" t="s">
        <v>253</v>
      </c>
      <c r="M666" s="569" t="s">
        <v>177</v>
      </c>
      <c r="N666" s="52" t="str">
        <f>IF(AND('331-CT'!$E$7=TH!H666,OR(L666="331",M666="331")),"331",IF(AND(OR(L666="131",M666="131"),H666='131-CT'!$E$7),"131",""))</f>
        <v/>
      </c>
      <c r="O666" s="89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15"/>
      <c r="AC666" s="211" t="str">
        <f>IF(F666=VLOOKUP(F666,NXT!$C$12:$C$345,1,0),"","x")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43"/>
        <v>12</v>
      </c>
      <c r="C667" s="184">
        <f t="shared" si="44"/>
        <v>41997</v>
      </c>
      <c r="D667" s="184" t="s">
        <v>976</v>
      </c>
      <c r="E667" s="191">
        <v>41997</v>
      </c>
      <c r="F667" s="189" t="s">
        <v>421</v>
      </c>
      <c r="G667" s="468" t="s">
        <v>846</v>
      </c>
      <c r="H667" s="7" t="s">
        <v>847</v>
      </c>
      <c r="I667" s="256"/>
      <c r="J667" s="256"/>
      <c r="K667" s="568">
        <v>1732373</v>
      </c>
      <c r="L667" s="569" t="s">
        <v>253</v>
      </c>
      <c r="M667" s="569" t="s">
        <v>365</v>
      </c>
      <c r="N667" s="52" t="str">
        <f>IF(AND('331-CT'!$E$7=TH!H667,OR(L667="331",M667="331")),"331",IF(AND(OR(L667="131",M667="131"),H667='131-CT'!$E$7),"131",""))</f>
        <v/>
      </c>
      <c r="O667" s="89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15"/>
      <c r="AC667" s="560" t="str">
        <f>IF(VLOOKUP(H667,DS_131,1,0)&lt;&gt;"","","x")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43"/>
        <v>12</v>
      </c>
      <c r="C668" s="184">
        <f t="shared" si="44"/>
        <v>41998</v>
      </c>
      <c r="D668" s="184" t="s">
        <v>977</v>
      </c>
      <c r="E668" s="191">
        <v>41998</v>
      </c>
      <c r="F668" s="189" t="s">
        <v>437</v>
      </c>
      <c r="G668" s="468" t="s">
        <v>857</v>
      </c>
      <c r="H668" s="7" t="s">
        <v>439</v>
      </c>
      <c r="I668" s="256">
        <v>500</v>
      </c>
      <c r="J668" s="256">
        <v>10500</v>
      </c>
      <c r="K668" s="568">
        <f>ROUND(I668*J668,0)</f>
        <v>5250000</v>
      </c>
      <c r="L668" s="569" t="s">
        <v>253</v>
      </c>
      <c r="M668" s="569" t="s">
        <v>177</v>
      </c>
      <c r="N668" s="52" t="str">
        <f>IF(AND('331-CT'!$E$7=TH!H668,OR(L668="331",M668="331")),"331",IF(AND(OR(L668="131",M668="131"),H668='131-CT'!$E$7),"131",""))</f>
        <v/>
      </c>
      <c r="O668" s="89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15"/>
      <c r="AC668" s="211" t="str">
        <f>IF(F668=VLOOKUP(F668,NXT!$C$12:$C$345,1,0),"","x")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43"/>
        <v>12</v>
      </c>
      <c r="C669" s="184">
        <f t="shared" si="44"/>
        <v>41998</v>
      </c>
      <c r="D669" s="184" t="s">
        <v>977</v>
      </c>
      <c r="E669" s="191">
        <v>41998</v>
      </c>
      <c r="F669" s="189" t="s">
        <v>421</v>
      </c>
      <c r="G669" s="468" t="s">
        <v>857</v>
      </c>
      <c r="H669" s="7" t="s">
        <v>439</v>
      </c>
      <c r="I669" s="256"/>
      <c r="J669" s="256"/>
      <c r="K669" s="568">
        <v>525000</v>
      </c>
      <c r="L669" s="569" t="s">
        <v>253</v>
      </c>
      <c r="M669" s="569" t="s">
        <v>365</v>
      </c>
      <c r="N669" s="52" t="str">
        <f>IF(AND('331-CT'!$E$7=TH!H669,OR(L669="331",M669="331")),"331",IF(AND(OR(L669="131",M669="131"),H669='131-CT'!$E$7),"131",""))</f>
        <v/>
      </c>
      <c r="O669" s="89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15"/>
      <c r="AC669" s="560" t="str">
        <f>IF(VLOOKUP(H669,DS_131,1,0)&lt;&gt;"","","x")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43"/>
        <v>12</v>
      </c>
      <c r="C670" s="184">
        <f t="shared" si="44"/>
        <v>41998</v>
      </c>
      <c r="D670" s="184" t="s">
        <v>978</v>
      </c>
      <c r="E670" s="191">
        <v>41998</v>
      </c>
      <c r="F670" s="40" t="s">
        <v>460</v>
      </c>
      <c r="G670" s="468" t="s">
        <v>858</v>
      </c>
      <c r="H670" s="7" t="s">
        <v>462</v>
      </c>
      <c r="I670" s="256">
        <v>1000</v>
      </c>
      <c r="J670" s="256">
        <v>8740</v>
      </c>
      <c r="K670" s="568">
        <f>ROUND(I670*J670,0)</f>
        <v>8740000</v>
      </c>
      <c r="L670" s="569" t="s">
        <v>253</v>
      </c>
      <c r="M670" s="569" t="s">
        <v>177</v>
      </c>
      <c r="N670" s="52" t="str">
        <f>IF(AND('331-CT'!$E$7=TH!H670,OR(L670="331",M670="331")),"331",IF(AND(OR(L670="131",M670="131"),H670='131-CT'!$E$7),"131",""))</f>
        <v/>
      </c>
      <c r="O670" s="89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15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43"/>
        <v>12</v>
      </c>
      <c r="C671" s="184">
        <f t="shared" si="44"/>
        <v>41998</v>
      </c>
      <c r="D671" s="184" t="s">
        <v>978</v>
      </c>
      <c r="E671" s="191">
        <v>41998</v>
      </c>
      <c r="F671" s="40" t="s">
        <v>421</v>
      </c>
      <c r="G671" s="468" t="s">
        <v>858</v>
      </c>
      <c r="H671" s="7" t="s">
        <v>462</v>
      </c>
      <c r="I671" s="256"/>
      <c r="J671" s="256"/>
      <c r="K671" s="568">
        <v>874000</v>
      </c>
      <c r="L671" s="569" t="s">
        <v>253</v>
      </c>
      <c r="M671" s="569" t="s">
        <v>365</v>
      </c>
      <c r="N671" s="52" t="str">
        <f>IF(AND('331-CT'!$E$7=TH!H671,OR(L671="331",M671="331")),"331",IF(AND(OR(L671="131",M671="131"),H671='131-CT'!$E$7),"131",""))</f>
        <v/>
      </c>
      <c r="O671" s="89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15"/>
      <c r="AC671" s="560" t="str">
        <f>IF(VLOOKUP(H671,DS_131,1,0)&lt;&gt;"","","x")</f>
        <v/>
      </c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43"/>
        <v>12</v>
      </c>
      <c r="C672" s="184">
        <f t="shared" si="44"/>
        <v>41998</v>
      </c>
      <c r="D672" s="184" t="s">
        <v>979</v>
      </c>
      <c r="E672" s="191">
        <v>41998</v>
      </c>
      <c r="F672" s="40" t="s">
        <v>859</v>
      </c>
      <c r="G672" s="468" t="s">
        <v>860</v>
      </c>
      <c r="H672" s="7" t="s">
        <v>685</v>
      </c>
      <c r="I672" s="256">
        <v>45</v>
      </c>
      <c r="J672" s="256">
        <v>45400</v>
      </c>
      <c r="K672" s="568">
        <f>ROUND(I672*J672,0)</f>
        <v>2043000</v>
      </c>
      <c r="L672" s="569" t="s">
        <v>253</v>
      </c>
      <c r="M672" s="569" t="s">
        <v>177</v>
      </c>
      <c r="N672" s="52" t="str">
        <f>IF(AND('331-CT'!$E$7=TH!H672,OR(L672="331",M672="331")),"331",IF(AND(OR(L672="131",M672="131"),H672='131-CT'!$E$7),"131",""))</f>
        <v/>
      </c>
      <c r="O672" s="89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15"/>
      <c r="AC672" s="211" t="str">
        <f>IF(F672=VLOOKUP(F672,NXT!$C$12:$C$345,1,0),"","x")</f>
        <v/>
      </c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43"/>
        <v>12</v>
      </c>
      <c r="C673" s="184">
        <f t="shared" si="44"/>
        <v>41998</v>
      </c>
      <c r="D673" s="184" t="s">
        <v>979</v>
      </c>
      <c r="E673" s="191">
        <v>41998</v>
      </c>
      <c r="F673" s="192" t="s">
        <v>747</v>
      </c>
      <c r="G673" s="468" t="s">
        <v>860</v>
      </c>
      <c r="H673" s="7" t="s">
        <v>685</v>
      </c>
      <c r="I673" s="256">
        <v>90</v>
      </c>
      <c r="J673" s="256">
        <v>1500</v>
      </c>
      <c r="K673" s="568">
        <f>ROUND(I673*J673,0)</f>
        <v>135000</v>
      </c>
      <c r="L673" s="569" t="s">
        <v>253</v>
      </c>
      <c r="M673" s="569" t="s">
        <v>177</v>
      </c>
      <c r="N673" s="52" t="str">
        <f>IF(AND('331-CT'!$E$7=TH!H673,OR(L673="331",M673="331")),"331",IF(AND(OR(L673="131",M673="131"),H673='131-CT'!$E$7),"131",""))</f>
        <v/>
      </c>
      <c r="O673" s="89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15"/>
      <c r="AC673" s="211" t="str">
        <f>IF(F673=VLOOKUP(F673,NXT!$C$12:$C$345,1,0),"","x")</f>
        <v/>
      </c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43"/>
        <v>12</v>
      </c>
      <c r="C674" s="184">
        <f t="shared" si="44"/>
        <v>41998</v>
      </c>
      <c r="D674" s="184" t="s">
        <v>979</v>
      </c>
      <c r="E674" s="184">
        <v>41998</v>
      </c>
      <c r="F674" s="189" t="s">
        <v>421</v>
      </c>
      <c r="G674" s="570" t="s">
        <v>860</v>
      </c>
      <c r="H674" s="7" t="s">
        <v>685</v>
      </c>
      <c r="I674" s="256"/>
      <c r="J674" s="256"/>
      <c r="K674" s="568">
        <v>217800</v>
      </c>
      <c r="L674" s="569" t="s">
        <v>253</v>
      </c>
      <c r="M674" s="569" t="s">
        <v>365</v>
      </c>
      <c r="N674" s="52" t="str">
        <f>IF(AND('331-CT'!$E$7=TH!H674,OR(L674="331",M674="331")),"331",IF(AND(OR(L674="131",M674="131"),H674='131-CT'!$E$7),"131",""))</f>
        <v/>
      </c>
      <c r="O674" s="89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15"/>
      <c r="AC674" s="560" t="str">
        <f>IF(VLOOKUP(H674,DS_131,1,0)&lt;&gt;"","","x")</f>
        <v/>
      </c>
      <c r="AD674" s="560"/>
      <c r="AE674" s="560"/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43"/>
        <v>12</v>
      </c>
      <c r="C675" s="184">
        <f t="shared" si="44"/>
        <v>41999</v>
      </c>
      <c r="D675" s="184" t="s">
        <v>980</v>
      </c>
      <c r="E675" s="191">
        <v>41999</v>
      </c>
      <c r="F675" s="192" t="s">
        <v>861</v>
      </c>
      <c r="G675" s="468" t="s">
        <v>862</v>
      </c>
      <c r="H675" s="193" t="s">
        <v>863</v>
      </c>
      <c r="I675" s="256">
        <v>305</v>
      </c>
      <c r="J675" s="256">
        <v>10670</v>
      </c>
      <c r="K675" s="568">
        <f>ROUND(I675*J675,0)</f>
        <v>3254350</v>
      </c>
      <c r="L675" s="569" t="s">
        <v>253</v>
      </c>
      <c r="M675" s="569" t="s">
        <v>177</v>
      </c>
      <c r="N675" s="52" t="str">
        <f>IF(AND('331-CT'!$E$7=TH!H675,OR(L675="331",M675="331")),"331",IF(AND(OR(L675="131",M675="131"),H675='131-CT'!$E$7),"131",""))</f>
        <v/>
      </c>
      <c r="O675" s="89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15"/>
      <c r="AC675" s="211" t="str">
        <f>IF(F675=VLOOKUP(F675,NXT!$C$12:$C$345,1,0),"","x")</f>
        <v/>
      </c>
      <c r="AD675" s="560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43"/>
        <v>12</v>
      </c>
      <c r="C676" s="184">
        <f t="shared" si="44"/>
        <v>41999</v>
      </c>
      <c r="D676" s="184" t="s">
        <v>980</v>
      </c>
      <c r="E676" s="191">
        <v>41999</v>
      </c>
      <c r="F676" s="192" t="s">
        <v>864</v>
      </c>
      <c r="G676" s="468" t="s">
        <v>862</v>
      </c>
      <c r="H676" s="193" t="s">
        <v>863</v>
      </c>
      <c r="I676" s="257">
        <v>615</v>
      </c>
      <c r="J676" s="257">
        <v>5700</v>
      </c>
      <c r="K676" s="568">
        <f>ROUND(I676*J676,0)</f>
        <v>3505500</v>
      </c>
      <c r="L676" s="569" t="s">
        <v>253</v>
      </c>
      <c r="M676" s="569" t="s">
        <v>177</v>
      </c>
      <c r="N676" s="52" t="str">
        <f>IF(AND('331-CT'!$E$7=TH!H676,OR(L676="331",M676="331")),"331",IF(AND(OR(L676="131",M676="131"),H676='131-CT'!$E$7),"131",""))</f>
        <v/>
      </c>
      <c r="O676" s="89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15"/>
      <c r="AC676" s="211" t="str">
        <f>IF(F676=VLOOKUP(F676,NXT!$C$12:$C$345,1,0),"","x")</f>
        <v/>
      </c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43"/>
        <v>12</v>
      </c>
      <c r="C677" s="184">
        <f t="shared" si="44"/>
        <v>41999</v>
      </c>
      <c r="D677" s="184" t="s">
        <v>980</v>
      </c>
      <c r="E677" s="191">
        <v>41999</v>
      </c>
      <c r="F677" s="192" t="s">
        <v>865</v>
      </c>
      <c r="G677" s="468" t="s">
        <v>862</v>
      </c>
      <c r="H677" s="193" t="s">
        <v>863</v>
      </c>
      <c r="I677" s="256">
        <v>953</v>
      </c>
      <c r="J677" s="256">
        <v>5150</v>
      </c>
      <c r="K677" s="568">
        <f>ROUND(I677*J677,0)</f>
        <v>4907950</v>
      </c>
      <c r="L677" s="569" t="s">
        <v>253</v>
      </c>
      <c r="M677" s="569" t="s">
        <v>177</v>
      </c>
      <c r="N677" s="52" t="str">
        <f>IF(AND('331-CT'!$E$7=TH!H677,OR(L677="331",M677="331")),"331",IF(AND(OR(L677="131",M677="131"),H677='131-CT'!$E$7),"131",""))</f>
        <v/>
      </c>
      <c r="O677" s="89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15"/>
      <c r="AC677" s="211" t="str">
        <f>IF(F677=VLOOKUP(F677,NXT!$C$12:$C$345,1,0),"","x")</f>
        <v/>
      </c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ref="B678:B712" si="46">IF(C678&lt;&gt;"",MONTH(C678),"")</f>
        <v>12</v>
      </c>
      <c r="C678" s="184">
        <f t="shared" ref="C678:C712" si="47">E678</f>
        <v>41999</v>
      </c>
      <c r="D678" s="184" t="s">
        <v>980</v>
      </c>
      <c r="E678" s="191">
        <v>41999</v>
      </c>
      <c r="F678" s="192" t="s">
        <v>866</v>
      </c>
      <c r="G678" s="468" t="s">
        <v>862</v>
      </c>
      <c r="H678" s="193" t="s">
        <v>863</v>
      </c>
      <c r="I678" s="257">
        <v>300</v>
      </c>
      <c r="J678" s="257">
        <v>5300</v>
      </c>
      <c r="K678" s="568">
        <f>ROUND(I678*J678,0)</f>
        <v>1590000</v>
      </c>
      <c r="L678" s="569" t="s">
        <v>253</v>
      </c>
      <c r="M678" s="569" t="s">
        <v>177</v>
      </c>
      <c r="N678" s="52" t="str">
        <f>IF(AND('331-CT'!$E$7=TH!H678,OR(L678="331",M678="331")),"331",IF(AND(OR(L678="131",M678="131"),H678='131-CT'!$E$7),"131",""))</f>
        <v/>
      </c>
      <c r="O678" s="89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15"/>
      <c r="AC678" s="211" t="str">
        <f>IF(F678=VLOOKUP(F678,NXT!$C$12:$C$345,1,0),"","x")</f>
        <v/>
      </c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46"/>
        <v>12</v>
      </c>
      <c r="C679" s="184">
        <f t="shared" si="47"/>
        <v>41999</v>
      </c>
      <c r="D679" s="184" t="s">
        <v>980</v>
      </c>
      <c r="E679" s="191">
        <v>41999</v>
      </c>
      <c r="F679" s="192" t="s">
        <v>421</v>
      </c>
      <c r="G679" s="468" t="s">
        <v>862</v>
      </c>
      <c r="H679" s="193" t="s">
        <v>863</v>
      </c>
      <c r="I679" s="256"/>
      <c r="J679" s="256"/>
      <c r="K679" s="568">
        <v>1325780</v>
      </c>
      <c r="L679" s="569" t="s">
        <v>253</v>
      </c>
      <c r="M679" s="569" t="s">
        <v>365</v>
      </c>
      <c r="N679" s="52" t="str">
        <f>IF(AND('331-CT'!$E$7=TH!H679,OR(L679="331",M679="331")),"331",IF(AND(OR(L679="131",M679="131"),H679='131-CT'!$E$7),"131",""))</f>
        <v/>
      </c>
      <c r="O679" s="89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15"/>
      <c r="AC679" s="560" t="str">
        <f>IF(VLOOKUP(H679,DS_131,1,0)&lt;&gt;"","","x")</f>
        <v/>
      </c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46"/>
        <v>12</v>
      </c>
      <c r="C680" s="184">
        <f t="shared" si="47"/>
        <v>41999</v>
      </c>
      <c r="D680" s="184" t="s">
        <v>981</v>
      </c>
      <c r="E680" s="191">
        <v>41999</v>
      </c>
      <c r="F680" s="192" t="s">
        <v>867</v>
      </c>
      <c r="G680" s="468" t="s">
        <v>868</v>
      </c>
      <c r="H680" s="193" t="s">
        <v>673</v>
      </c>
      <c r="I680" s="257">
        <v>416</v>
      </c>
      <c r="J680" s="257">
        <v>5500</v>
      </c>
      <c r="K680" s="568">
        <f>ROUND(I680*J680,0)</f>
        <v>2288000</v>
      </c>
      <c r="L680" s="569" t="s">
        <v>253</v>
      </c>
      <c r="M680" s="569" t="s">
        <v>177</v>
      </c>
      <c r="N680" s="52" t="str">
        <f>IF(AND('331-CT'!$E$7=TH!H680,OR(L680="331",M680="331")),"331",IF(AND(OR(L680="131",M680="131"),H680='131-CT'!$E$7),"131",""))</f>
        <v/>
      </c>
      <c r="O680" s="89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15"/>
      <c r="AC680" s="211" t="str">
        <f>IF(F680=VLOOKUP(F680,NXT!$C$12:$C$345,1,0),"","x")</f>
        <v/>
      </c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46"/>
        <v>12</v>
      </c>
      <c r="C681" s="184">
        <f t="shared" si="47"/>
        <v>41999</v>
      </c>
      <c r="D681" s="184" t="s">
        <v>981</v>
      </c>
      <c r="E681" s="191">
        <v>41999</v>
      </c>
      <c r="F681" s="192" t="s">
        <v>867</v>
      </c>
      <c r="G681" s="468" t="s">
        <v>868</v>
      </c>
      <c r="H681" s="193" t="s">
        <v>673</v>
      </c>
      <c r="I681" s="256">
        <v>602</v>
      </c>
      <c r="J681" s="256">
        <v>5500</v>
      </c>
      <c r="K681" s="568">
        <f>ROUND(I681*J681,0)</f>
        <v>3311000</v>
      </c>
      <c r="L681" s="569" t="s">
        <v>253</v>
      </c>
      <c r="M681" s="569" t="s">
        <v>177</v>
      </c>
      <c r="N681" s="52" t="str">
        <f>IF(AND('331-CT'!$E$7=TH!H681,OR(L681="331",M681="331")),"331",IF(AND(OR(L681="131",M681="131"),H681='131-CT'!$E$7),"131",""))</f>
        <v/>
      </c>
      <c r="O681" s="89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15"/>
      <c r="AC681" s="211" t="str">
        <f>IF(F681=VLOOKUP(F681,NXT!$C$12:$C$345,1,0),"","x")</f>
        <v/>
      </c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46"/>
        <v>12</v>
      </c>
      <c r="C682" s="184">
        <f t="shared" si="47"/>
        <v>41999</v>
      </c>
      <c r="D682" s="184" t="s">
        <v>981</v>
      </c>
      <c r="E682" s="191">
        <v>41999</v>
      </c>
      <c r="F682" s="192" t="s">
        <v>869</v>
      </c>
      <c r="G682" s="468" t="s">
        <v>868</v>
      </c>
      <c r="H682" s="193" t="s">
        <v>673</v>
      </c>
      <c r="I682" s="257">
        <v>413</v>
      </c>
      <c r="J682" s="257">
        <v>5000</v>
      </c>
      <c r="K682" s="568">
        <f>ROUND(I682*J682,0)</f>
        <v>2065000</v>
      </c>
      <c r="L682" s="569" t="s">
        <v>253</v>
      </c>
      <c r="M682" s="569" t="s">
        <v>177</v>
      </c>
      <c r="N682" s="52" t="str">
        <f>IF(AND('331-CT'!$E$7=TH!H682,OR(L682="331",M682="331")),"331",IF(AND(OR(L682="131",M682="131"),H682='131-CT'!$E$7),"131",""))</f>
        <v/>
      </c>
      <c r="O682" s="89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15"/>
      <c r="AC682" s="211" t="str">
        <f>IF(F682=VLOOKUP(F682,NXT!$C$12:$C$345,1,0),"","x")</f>
        <v/>
      </c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46"/>
        <v>12</v>
      </c>
      <c r="C683" s="184">
        <f t="shared" si="47"/>
        <v>41999</v>
      </c>
      <c r="D683" s="184" t="s">
        <v>981</v>
      </c>
      <c r="E683" s="191">
        <v>41999</v>
      </c>
      <c r="F683" s="192" t="s">
        <v>421</v>
      </c>
      <c r="G683" s="468" t="s">
        <v>868</v>
      </c>
      <c r="H683" s="193" t="s">
        <v>673</v>
      </c>
      <c r="I683" s="256"/>
      <c r="J683" s="256"/>
      <c r="K683" s="38">
        <v>766400</v>
      </c>
      <c r="L683" s="569" t="s">
        <v>253</v>
      </c>
      <c r="M683" s="569" t="s">
        <v>365</v>
      </c>
      <c r="N683" s="52" t="str">
        <f>IF(AND('331-CT'!$E$7=TH!H683,OR(L683="331",M683="331")),"331",IF(AND(OR(L683="131",M683="131"),H683='131-CT'!$E$7),"131",""))</f>
        <v/>
      </c>
      <c r="O683" s="89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15"/>
      <c r="AC683" s="560" t="str">
        <f>IF(VLOOKUP(H683,DS_131,1,0)&lt;&gt;"","","x")</f>
        <v/>
      </c>
      <c r="AD683" s="560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46"/>
        <v>12</v>
      </c>
      <c r="C684" s="184">
        <f t="shared" si="47"/>
        <v>42000</v>
      </c>
      <c r="D684" s="184" t="s">
        <v>982</v>
      </c>
      <c r="E684" s="191">
        <v>42000</v>
      </c>
      <c r="F684" s="189" t="s">
        <v>671</v>
      </c>
      <c r="G684" s="468" t="s">
        <v>870</v>
      </c>
      <c r="H684" s="7" t="s">
        <v>673</v>
      </c>
      <c r="I684" s="256">
        <v>1528</v>
      </c>
      <c r="J684" s="256">
        <v>9300</v>
      </c>
      <c r="K684" s="568">
        <f>ROUND(I684*J684,0)</f>
        <v>14210400</v>
      </c>
      <c r="L684" s="569" t="s">
        <v>253</v>
      </c>
      <c r="M684" s="569" t="s">
        <v>177</v>
      </c>
      <c r="N684" s="52" t="str">
        <f>IF(AND('331-CT'!$E$7=TH!H684,OR(L684="331",M684="331")),"331",IF(AND(OR(L684="131",M684="131"),H684='131-CT'!$E$7),"131",""))</f>
        <v/>
      </c>
      <c r="O684" s="89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15"/>
      <c r="AC684" s="211" t="str">
        <f>IF(F684=VLOOKUP(F684,NXT!$C$12:$C$345,1,0),"","x")</f>
        <v/>
      </c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46"/>
        <v>12</v>
      </c>
      <c r="C685" s="184">
        <f t="shared" si="47"/>
        <v>42000</v>
      </c>
      <c r="D685" s="184" t="s">
        <v>982</v>
      </c>
      <c r="E685" s="191">
        <v>42000</v>
      </c>
      <c r="F685" s="189" t="s">
        <v>421</v>
      </c>
      <c r="G685" s="468" t="s">
        <v>870</v>
      </c>
      <c r="H685" s="7" t="s">
        <v>673</v>
      </c>
      <c r="I685" s="256"/>
      <c r="J685" s="256"/>
      <c r="K685" s="568">
        <v>1421040</v>
      </c>
      <c r="L685" s="569" t="s">
        <v>253</v>
      </c>
      <c r="M685" s="569" t="s">
        <v>365</v>
      </c>
      <c r="N685" s="52" t="str">
        <f>IF(AND('331-CT'!$E$7=TH!H685,OR(L685="331",M685="331")),"331",IF(AND(OR(L685="131",M685="131"),H685='131-CT'!$E$7),"131",""))</f>
        <v/>
      </c>
      <c r="O685" s="89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15"/>
      <c r="AC685" s="560" t="str">
        <f>IF(VLOOKUP(H685,DS_131,1,0)&lt;&gt;"","","x")</f>
        <v/>
      </c>
    </row>
    <row r="686" spans="1:31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46"/>
        <v>12</v>
      </c>
      <c r="C686" s="184">
        <f t="shared" si="47"/>
        <v>42000</v>
      </c>
      <c r="D686" s="184" t="s">
        <v>983</v>
      </c>
      <c r="E686" s="191">
        <v>42000</v>
      </c>
      <c r="F686" s="189" t="s">
        <v>516</v>
      </c>
      <c r="G686" s="468" t="s">
        <v>871</v>
      </c>
      <c r="H686" s="7" t="s">
        <v>910</v>
      </c>
      <c r="I686" s="256">
        <v>1010</v>
      </c>
      <c r="J686" s="256">
        <v>12000</v>
      </c>
      <c r="K686" s="568">
        <f>ROUND(I686*J686,0)</f>
        <v>12120000</v>
      </c>
      <c r="L686" s="569" t="s">
        <v>253</v>
      </c>
      <c r="M686" s="569" t="s">
        <v>177</v>
      </c>
      <c r="N686" s="52" t="str">
        <f>IF(AND('331-CT'!$E$7=TH!H686,OR(L686="331",M686="331")),"331",IF(AND(OR(L686="131",M686="131"),H686='131-CT'!$E$7),"131",""))</f>
        <v/>
      </c>
      <c r="O686" s="89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15"/>
      <c r="AC686" s="211" t="str">
        <f>IF(F686=VLOOKUP(F686,NXT!$C$12:$C$345,1,0),"","x")</f>
        <v/>
      </c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46"/>
        <v>12</v>
      </c>
      <c r="C687" s="184">
        <f t="shared" si="47"/>
        <v>42000</v>
      </c>
      <c r="D687" s="184" t="s">
        <v>983</v>
      </c>
      <c r="E687" s="191">
        <v>42000</v>
      </c>
      <c r="F687" s="296" t="s">
        <v>421</v>
      </c>
      <c r="G687" s="468" t="s">
        <v>871</v>
      </c>
      <c r="H687" s="7" t="s">
        <v>910</v>
      </c>
      <c r="I687" s="256"/>
      <c r="J687" s="256"/>
      <c r="K687" s="568">
        <v>1212000</v>
      </c>
      <c r="L687" s="569" t="s">
        <v>253</v>
      </c>
      <c r="M687" s="569" t="s">
        <v>365</v>
      </c>
      <c r="N687" s="52" t="str">
        <f>IF(AND('331-CT'!$E$7=TH!H687,OR(L687="331",M687="331")),"331",IF(AND(OR(L687="131",M687="131"),H687='131-CT'!$E$7),"131",""))</f>
        <v/>
      </c>
      <c r="O687" s="89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15"/>
      <c r="AC687" s="560" t="str">
        <f>IF(VLOOKUP(H687,DS_131,1,0)&lt;&gt;"","","x")</f>
        <v/>
      </c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46"/>
        <v>12</v>
      </c>
      <c r="C688" s="184">
        <f t="shared" si="47"/>
        <v>42003</v>
      </c>
      <c r="D688" s="184" t="s">
        <v>984</v>
      </c>
      <c r="E688" s="191">
        <v>42003</v>
      </c>
      <c r="F688" s="189" t="s">
        <v>872</v>
      </c>
      <c r="G688" s="468" t="s">
        <v>873</v>
      </c>
      <c r="H688" s="7" t="s">
        <v>909</v>
      </c>
      <c r="I688" s="256">
        <v>310</v>
      </c>
      <c r="J688" s="256">
        <v>9400</v>
      </c>
      <c r="K688" s="568">
        <f>ROUND(I688*J688,0)</f>
        <v>2914000</v>
      </c>
      <c r="L688" s="569" t="s">
        <v>253</v>
      </c>
      <c r="M688" s="569" t="s">
        <v>177</v>
      </c>
      <c r="N688" s="52" t="str">
        <f>IF(AND('331-CT'!$E$7=TH!H688,OR(L688="331",M688="331")),"331",IF(AND(OR(L688="131",M688="131"),H688='131-CT'!$E$7),"131",""))</f>
        <v/>
      </c>
      <c r="O688" s="89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15"/>
      <c r="AC688" s="211" t="str">
        <f>IF(F688=VLOOKUP(F688,NXT!$C$12:$C$345,1,0),"","x")</f>
        <v/>
      </c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46"/>
        <v>12</v>
      </c>
      <c r="C689" s="184">
        <f t="shared" si="47"/>
        <v>42003</v>
      </c>
      <c r="D689" s="184" t="s">
        <v>984</v>
      </c>
      <c r="E689" s="191">
        <v>42003</v>
      </c>
      <c r="F689" s="40" t="s">
        <v>874</v>
      </c>
      <c r="G689" s="468" t="s">
        <v>873</v>
      </c>
      <c r="H689" s="7" t="s">
        <v>909</v>
      </c>
      <c r="I689" s="256">
        <v>219</v>
      </c>
      <c r="J689" s="256">
        <v>9800</v>
      </c>
      <c r="K689" s="568">
        <f>ROUND(I689*J689,0)</f>
        <v>2146200</v>
      </c>
      <c r="L689" s="569" t="s">
        <v>253</v>
      </c>
      <c r="M689" s="569" t="s">
        <v>177</v>
      </c>
      <c r="N689" s="52" t="str">
        <f>IF(AND('331-CT'!$E$7=TH!H689,OR(L689="331",M689="331")),"331",IF(AND(OR(L689="131",M689="131"),H689='131-CT'!$E$7),"131",""))</f>
        <v/>
      </c>
      <c r="O689" s="89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15"/>
      <c r="AC689" s="211" t="str">
        <f>IF(F689=VLOOKUP(F689,NXT!$C$12:$C$345,1,0),"","x")</f>
        <v/>
      </c>
    </row>
    <row r="690" spans="1:31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46"/>
        <v>12</v>
      </c>
      <c r="C690" s="184">
        <f t="shared" si="47"/>
        <v>42003</v>
      </c>
      <c r="D690" s="184" t="s">
        <v>984</v>
      </c>
      <c r="E690" s="191">
        <v>42003</v>
      </c>
      <c r="F690" s="189" t="s">
        <v>421</v>
      </c>
      <c r="G690" s="468" t="s">
        <v>873</v>
      </c>
      <c r="H690" s="7" t="s">
        <v>909</v>
      </c>
      <c r="I690" s="256"/>
      <c r="J690" s="256"/>
      <c r="K690" s="568">
        <v>506020</v>
      </c>
      <c r="L690" s="569" t="s">
        <v>253</v>
      </c>
      <c r="M690" s="569" t="s">
        <v>365</v>
      </c>
      <c r="N690" s="52" t="str">
        <f>IF(AND('331-CT'!$E$7=TH!H690,OR(L690="331",M690="331")),"331",IF(AND(OR(L690="131",M690="131"),H690='131-CT'!$E$7),"131",""))</f>
        <v/>
      </c>
      <c r="O690" s="89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15"/>
      <c r="AC690" s="560" t="str">
        <f>IF(VLOOKUP(H690,DS_131,1,0)&lt;&gt;"","","x")</f>
        <v/>
      </c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46"/>
        <v>12</v>
      </c>
      <c r="C691" s="184">
        <f t="shared" si="47"/>
        <v>42003</v>
      </c>
      <c r="D691" s="184" t="s">
        <v>985</v>
      </c>
      <c r="E691" s="191">
        <v>42003</v>
      </c>
      <c r="F691" s="40" t="s">
        <v>875</v>
      </c>
      <c r="G691" s="468" t="s">
        <v>876</v>
      </c>
      <c r="H691" s="7" t="s">
        <v>685</v>
      </c>
      <c r="I691" s="256">
        <v>30</v>
      </c>
      <c r="J691" s="256">
        <v>43000</v>
      </c>
      <c r="K691" s="568">
        <f>ROUND(I691*J691,0)</f>
        <v>1290000</v>
      </c>
      <c r="L691" s="569" t="s">
        <v>253</v>
      </c>
      <c r="M691" s="569" t="s">
        <v>177</v>
      </c>
      <c r="N691" s="52" t="str">
        <f>IF(AND('331-CT'!$E$7=TH!H691,OR(L691="331",M691="331")),"331",IF(AND(OR(L691="131",M691="131"),H691='131-CT'!$E$7),"131",""))</f>
        <v/>
      </c>
      <c r="O691" s="89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15"/>
      <c r="AC691" s="211" t="str">
        <f>IF(F691=VLOOKUP(F691,NXT!$C$12:$C$345,1,0),"","x")</f>
        <v/>
      </c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6"/>
        <v>12</v>
      </c>
      <c r="C692" s="184">
        <f t="shared" si="47"/>
        <v>42003</v>
      </c>
      <c r="D692" s="184" t="s">
        <v>985</v>
      </c>
      <c r="E692" s="191">
        <v>42003</v>
      </c>
      <c r="F692" s="192" t="s">
        <v>747</v>
      </c>
      <c r="G692" s="468" t="s">
        <v>876</v>
      </c>
      <c r="H692" s="7" t="s">
        <v>685</v>
      </c>
      <c r="I692" s="256">
        <v>60</v>
      </c>
      <c r="J692" s="256">
        <v>1500</v>
      </c>
      <c r="K692" s="568">
        <f>ROUND(I692*J692,0)</f>
        <v>90000</v>
      </c>
      <c r="L692" s="569" t="s">
        <v>253</v>
      </c>
      <c r="M692" s="569" t="s">
        <v>177</v>
      </c>
      <c r="N692" s="52" t="str">
        <f>IF(AND('331-CT'!$E$7=TH!H692,OR(L692="331",M692="331")),"331",IF(AND(OR(L692="131",M692="131"),H692='131-CT'!$E$7),"131",""))</f>
        <v/>
      </c>
      <c r="O692" s="89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15"/>
      <c r="AC692" s="211" t="str">
        <f>IF(F692=VLOOKUP(F692,NXT!$C$12:$C$345,1,0),"","x")</f>
        <v/>
      </c>
    </row>
    <row r="693" spans="1:31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46"/>
        <v>12</v>
      </c>
      <c r="C693" s="184">
        <f t="shared" si="47"/>
        <v>42003</v>
      </c>
      <c r="D693" s="184" t="s">
        <v>985</v>
      </c>
      <c r="E693" s="191">
        <v>42003</v>
      </c>
      <c r="F693" s="189" t="s">
        <v>421</v>
      </c>
      <c r="G693" s="468" t="s">
        <v>876</v>
      </c>
      <c r="H693" s="7" t="s">
        <v>685</v>
      </c>
      <c r="I693" s="256"/>
      <c r="J693" s="256"/>
      <c r="K693" s="38">
        <v>138000</v>
      </c>
      <c r="L693" s="569" t="s">
        <v>253</v>
      </c>
      <c r="M693" s="569" t="s">
        <v>365</v>
      </c>
      <c r="N693" s="52" t="str">
        <f>IF(AND('331-CT'!$E$7=TH!H693,OR(L693="331",M693="331")),"331",IF(AND(OR(L693="131",M693="131"),H693='131-CT'!$E$7),"131",""))</f>
        <v/>
      </c>
      <c r="O693" s="89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15"/>
      <c r="AC693" s="560" t="str">
        <f>IF(VLOOKUP(H693,DS_131,1,0)&lt;&gt;"","","x")</f>
        <v/>
      </c>
      <c r="AD693" s="560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46"/>
        <v>12</v>
      </c>
      <c r="C694" s="184">
        <f t="shared" si="47"/>
        <v>42003</v>
      </c>
      <c r="D694" s="184" t="s">
        <v>986</v>
      </c>
      <c r="E694" s="191">
        <v>42003</v>
      </c>
      <c r="F694" s="189" t="s">
        <v>555</v>
      </c>
      <c r="G694" s="468" t="s">
        <v>877</v>
      </c>
      <c r="H694" s="7" t="s">
        <v>878</v>
      </c>
      <c r="I694" s="256">
        <v>650</v>
      </c>
      <c r="J694" s="256">
        <v>25000</v>
      </c>
      <c r="K694" s="568">
        <f>ROUND(I694*J694,0)</f>
        <v>16250000</v>
      </c>
      <c r="L694" s="569" t="s">
        <v>253</v>
      </c>
      <c r="M694" s="569" t="s">
        <v>177</v>
      </c>
      <c r="N694" s="52" t="str">
        <f>IF(AND('331-CT'!$E$7=TH!H694,OR(L694="331",M694="331")),"331",IF(AND(OR(L694="131",M694="131"),H694='131-CT'!$E$7),"131",""))</f>
        <v/>
      </c>
      <c r="O694" s="89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15"/>
      <c r="AC694" s="211" t="str">
        <f>IF(F694=VLOOKUP(F694,NXT!$C$12:$C$345,1,0),"","x")</f>
        <v/>
      </c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46"/>
        <v>12</v>
      </c>
      <c r="C695" s="184">
        <f t="shared" si="47"/>
        <v>42003</v>
      </c>
      <c r="D695" s="184" t="s">
        <v>986</v>
      </c>
      <c r="E695" s="191">
        <v>42003</v>
      </c>
      <c r="F695" s="189" t="s">
        <v>421</v>
      </c>
      <c r="G695" s="468" t="s">
        <v>877</v>
      </c>
      <c r="H695" s="7" t="s">
        <v>878</v>
      </c>
      <c r="I695" s="256"/>
      <c r="J695" s="256"/>
      <c r="K695" s="568">
        <v>1625000</v>
      </c>
      <c r="L695" s="569" t="s">
        <v>253</v>
      </c>
      <c r="M695" s="569" t="s">
        <v>365</v>
      </c>
      <c r="N695" s="52" t="str">
        <f>IF(AND('331-CT'!$E$7=TH!H695,OR(L695="331",M695="331")),"331",IF(AND(OR(L695="131",M695="131"),H695='131-CT'!$E$7),"131",""))</f>
        <v/>
      </c>
      <c r="O695" s="89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15"/>
      <c r="AC695" s="560" t="str">
        <f>IF(VLOOKUP(H695,DS_131,1,0)&lt;&gt;"","","x")</f>
        <v/>
      </c>
      <c r="AD695" s="560"/>
    </row>
    <row r="696" spans="1:31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46"/>
        <v>12</v>
      </c>
      <c r="C696" s="184">
        <f t="shared" si="47"/>
        <v>42004</v>
      </c>
      <c r="D696" s="184" t="s">
        <v>987</v>
      </c>
      <c r="E696" s="191">
        <v>42004</v>
      </c>
      <c r="F696" s="189" t="s">
        <v>513</v>
      </c>
      <c r="G696" s="468" t="s">
        <v>879</v>
      </c>
      <c r="H696" s="7" t="s">
        <v>909</v>
      </c>
      <c r="I696" s="256">
        <v>307</v>
      </c>
      <c r="J696" s="256">
        <v>7000</v>
      </c>
      <c r="K696" s="568">
        <f>ROUND(I696*J696,0)</f>
        <v>2149000</v>
      </c>
      <c r="L696" s="569" t="s">
        <v>253</v>
      </c>
      <c r="M696" s="569" t="s">
        <v>177</v>
      </c>
      <c r="N696" s="52" t="str">
        <f>IF(AND('331-CT'!$E$7=TH!H696,OR(L696="331",M696="331")),"331",IF(AND(OR(L696="131",M696="131"),H696='131-CT'!$E$7),"131",""))</f>
        <v/>
      </c>
      <c r="O696" s="89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15"/>
      <c r="AC696" s="211" t="str">
        <f>IF(F696=VLOOKUP(F696,NXT!$C$12:$C$345,1,0),"","x")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46"/>
        <v>12</v>
      </c>
      <c r="C697" s="184">
        <f t="shared" si="47"/>
        <v>42004</v>
      </c>
      <c r="D697" s="184" t="s">
        <v>987</v>
      </c>
      <c r="E697" s="191">
        <v>42004</v>
      </c>
      <c r="F697" s="189" t="s">
        <v>487</v>
      </c>
      <c r="G697" s="468" t="s">
        <v>879</v>
      </c>
      <c r="H697" s="7" t="s">
        <v>909</v>
      </c>
      <c r="I697" s="256">
        <v>200</v>
      </c>
      <c r="J697" s="256">
        <v>9300</v>
      </c>
      <c r="K697" s="568">
        <f>ROUND(I697*J697,0)</f>
        <v>1860000</v>
      </c>
      <c r="L697" s="569" t="s">
        <v>253</v>
      </c>
      <c r="M697" s="569" t="s">
        <v>177</v>
      </c>
      <c r="N697" s="52" t="str">
        <f>IF(AND('331-CT'!$E$7=TH!H697,OR(L697="331",M697="331")),"331",IF(AND(OR(L697="131",M697="131"),H697='131-CT'!$E$7),"131",""))</f>
        <v/>
      </c>
      <c r="O697" s="89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15"/>
      <c r="AC697" s="211" t="str">
        <f>IF(F697=VLOOKUP(F697,NXT!$C$12:$C$345,1,0),"","x")</f>
        <v/>
      </c>
      <c r="AD697" s="560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46"/>
        <v>12</v>
      </c>
      <c r="C698" s="184">
        <f t="shared" si="47"/>
        <v>42004</v>
      </c>
      <c r="D698" s="184" t="s">
        <v>987</v>
      </c>
      <c r="E698" s="191">
        <v>42004</v>
      </c>
      <c r="F698" s="189" t="s">
        <v>421</v>
      </c>
      <c r="G698" s="468" t="s">
        <v>879</v>
      </c>
      <c r="H698" s="7" t="s">
        <v>909</v>
      </c>
      <c r="I698" s="256"/>
      <c r="J698" s="256"/>
      <c r="K698" s="568">
        <v>400900</v>
      </c>
      <c r="L698" s="569" t="s">
        <v>253</v>
      </c>
      <c r="M698" s="569" t="s">
        <v>365</v>
      </c>
      <c r="N698" s="52" t="str">
        <f>IF(AND('331-CT'!$E$7=TH!H698,OR(L698="331",M698="331")),"331",IF(AND(OR(L698="131",M698="131"),H698='131-CT'!$E$7),"131",""))</f>
        <v/>
      </c>
      <c r="O698" s="89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15"/>
      <c r="AC698" s="560" t="str">
        <f>IF(VLOOKUP(H698,DS_131,1,0)&lt;&gt;"","","x")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46"/>
        <v>12</v>
      </c>
      <c r="C699" s="184">
        <f t="shared" si="47"/>
        <v>42004</v>
      </c>
      <c r="D699" s="184" t="s">
        <v>988</v>
      </c>
      <c r="E699" s="191">
        <v>42004</v>
      </c>
      <c r="F699" s="189" t="s">
        <v>776</v>
      </c>
      <c r="G699" s="468" t="s">
        <v>880</v>
      </c>
      <c r="H699" s="7" t="s">
        <v>778</v>
      </c>
      <c r="I699" s="257">
        <v>2500</v>
      </c>
      <c r="J699" s="257">
        <v>6500</v>
      </c>
      <c r="K699" s="568">
        <f>ROUND(I699*J699,0)</f>
        <v>16250000</v>
      </c>
      <c r="L699" s="569" t="s">
        <v>253</v>
      </c>
      <c r="M699" s="569" t="s">
        <v>177</v>
      </c>
      <c r="N699" s="52" t="str">
        <f>IF(AND('331-CT'!$E$7=TH!H699,OR(L699="331",M699="331")),"331",IF(AND(OR(L699="131",M699="131"),H699='131-CT'!$E$7),"131",""))</f>
        <v/>
      </c>
      <c r="O699" s="89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15"/>
      <c r="AC699" s="211" t="str">
        <f>IF(F699=VLOOKUP(F699,NXT!$C$12:$C$345,1,0),"","x")</f>
        <v/>
      </c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46"/>
        <v>12</v>
      </c>
      <c r="C700" s="184">
        <f t="shared" si="47"/>
        <v>42004</v>
      </c>
      <c r="D700" s="184" t="s">
        <v>988</v>
      </c>
      <c r="E700" s="191">
        <v>42004</v>
      </c>
      <c r="F700" s="189" t="s">
        <v>421</v>
      </c>
      <c r="G700" s="468" t="s">
        <v>880</v>
      </c>
      <c r="H700" s="7" t="s">
        <v>778</v>
      </c>
      <c r="I700" s="256"/>
      <c r="J700" s="256"/>
      <c r="K700" s="568">
        <v>1625000</v>
      </c>
      <c r="L700" s="569" t="s">
        <v>253</v>
      </c>
      <c r="M700" s="569" t="s">
        <v>365</v>
      </c>
      <c r="N700" s="52" t="str">
        <f>IF(AND('331-CT'!$E$7=TH!H700,OR(L700="331",M700="331")),"331",IF(AND(OR(L700="131",M700="131"),H700='131-CT'!$E$7),"131",""))</f>
        <v/>
      </c>
      <c r="O700" s="89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15"/>
      <c r="AC700" s="560" t="str">
        <f>IF(VLOOKUP(H700,DS_131,1,0)&lt;&gt;"","","x")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46"/>
        <v>12</v>
      </c>
      <c r="C701" s="184">
        <f t="shared" si="47"/>
        <v>42004</v>
      </c>
      <c r="D701" s="184" t="s">
        <v>989</v>
      </c>
      <c r="E701" s="191">
        <v>42004</v>
      </c>
      <c r="F701" s="189" t="s">
        <v>881</v>
      </c>
      <c r="G701" s="468" t="s">
        <v>882</v>
      </c>
      <c r="H701" s="7" t="s">
        <v>470</v>
      </c>
      <c r="I701" s="256">
        <v>2050</v>
      </c>
      <c r="J701" s="256">
        <v>3750</v>
      </c>
      <c r="K701" s="568">
        <f>ROUND(I701*J701,0)</f>
        <v>7687500</v>
      </c>
      <c r="L701" s="569" t="s">
        <v>253</v>
      </c>
      <c r="M701" s="569" t="s">
        <v>177</v>
      </c>
      <c r="N701" s="52" t="str">
        <f>IF(AND('331-CT'!$E$7=TH!H701,OR(L701="331",M701="331")),"331",IF(AND(OR(L701="131",M701="131"),H701='131-CT'!$E$7),"131",""))</f>
        <v/>
      </c>
      <c r="O701" s="89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15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46"/>
        <v>12</v>
      </c>
      <c r="C702" s="184">
        <f t="shared" si="47"/>
        <v>42004</v>
      </c>
      <c r="D702" s="184" t="s">
        <v>989</v>
      </c>
      <c r="E702" s="191">
        <v>42004</v>
      </c>
      <c r="F702" s="189" t="s">
        <v>883</v>
      </c>
      <c r="G702" s="468" t="s">
        <v>882</v>
      </c>
      <c r="H702" s="7" t="s">
        <v>470</v>
      </c>
      <c r="I702" s="256">
        <v>210</v>
      </c>
      <c r="J702" s="256">
        <v>5000</v>
      </c>
      <c r="K702" s="568">
        <f>ROUND(I702*J702,0)</f>
        <v>1050000</v>
      </c>
      <c r="L702" s="569" t="s">
        <v>253</v>
      </c>
      <c r="M702" s="569" t="s">
        <v>177</v>
      </c>
      <c r="N702" s="52" t="str">
        <f>IF(AND('331-CT'!$E$7=TH!H702,OR(L702="331",M702="331")),"331",IF(AND(OR(L702="131",M702="131"),H702='131-CT'!$E$7),"131",""))</f>
        <v/>
      </c>
      <c r="O702" s="89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15"/>
      <c r="AC702" s="211" t="str">
        <f>IF(F702=VLOOKUP(F702,NXT!$C$12:$C$345,1,0),"","x")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46"/>
        <v>12</v>
      </c>
      <c r="C703" s="184">
        <f t="shared" si="47"/>
        <v>42004</v>
      </c>
      <c r="D703" s="184" t="s">
        <v>989</v>
      </c>
      <c r="E703" s="191">
        <v>42004</v>
      </c>
      <c r="F703" s="189" t="s">
        <v>884</v>
      </c>
      <c r="G703" s="468" t="s">
        <v>882</v>
      </c>
      <c r="H703" s="7" t="s">
        <v>470</v>
      </c>
      <c r="I703" s="256">
        <v>130</v>
      </c>
      <c r="J703" s="256">
        <v>5200</v>
      </c>
      <c r="K703" s="568">
        <f>ROUND(I703*J703,0)</f>
        <v>676000</v>
      </c>
      <c r="L703" s="569" t="s">
        <v>253</v>
      </c>
      <c r="M703" s="569" t="s">
        <v>177</v>
      </c>
      <c r="N703" s="52" t="str">
        <f>IF(AND('331-CT'!$E$7=TH!H703,OR(L703="331",M703="331")),"331",IF(AND(OR(L703="131",M703="131"),H703='131-CT'!$E$7),"131",""))</f>
        <v/>
      </c>
      <c r="O703" s="89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15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46"/>
        <v>12</v>
      </c>
      <c r="C704" s="184">
        <f t="shared" si="47"/>
        <v>42004</v>
      </c>
      <c r="D704" s="184" t="s">
        <v>989</v>
      </c>
      <c r="E704" s="184">
        <v>42004</v>
      </c>
      <c r="F704" s="189" t="s">
        <v>885</v>
      </c>
      <c r="G704" s="570" t="s">
        <v>882</v>
      </c>
      <c r="H704" s="193" t="s">
        <v>470</v>
      </c>
      <c r="I704" s="256">
        <v>170</v>
      </c>
      <c r="J704" s="256">
        <v>4650</v>
      </c>
      <c r="K704" s="568">
        <f>ROUND(I704*J704,0)</f>
        <v>790500</v>
      </c>
      <c r="L704" s="569" t="s">
        <v>253</v>
      </c>
      <c r="M704" s="569" t="s">
        <v>177</v>
      </c>
      <c r="N704" s="52" t="str">
        <f>IF(AND('331-CT'!$E$7=TH!H704,OR(L704="331",M704="331")),"331",IF(AND(OR(L704="131",M704="131"),H704='131-CT'!$E$7),"131",""))</f>
        <v/>
      </c>
      <c r="O704" s="89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15"/>
      <c r="AC704" s="211" t="str">
        <f>IF(F704=VLOOKUP(F704,NXT!$C$12:$C$345,1,0),"","x")</f>
        <v/>
      </c>
      <c r="AD704" s="560"/>
      <c r="AE704" s="560"/>
    </row>
    <row r="705" spans="1:30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46"/>
        <v>12</v>
      </c>
      <c r="C705" s="184">
        <f t="shared" si="47"/>
        <v>42004</v>
      </c>
      <c r="D705" s="184" t="s">
        <v>989</v>
      </c>
      <c r="E705" s="191">
        <v>42004</v>
      </c>
      <c r="F705" s="192" t="s">
        <v>421</v>
      </c>
      <c r="G705" s="468" t="s">
        <v>882</v>
      </c>
      <c r="H705" s="193" t="s">
        <v>470</v>
      </c>
      <c r="I705" s="257"/>
      <c r="J705" s="257"/>
      <c r="K705" s="568">
        <v>1020400</v>
      </c>
      <c r="L705" s="569" t="s">
        <v>253</v>
      </c>
      <c r="M705" s="569" t="s">
        <v>365</v>
      </c>
      <c r="N705" s="52" t="str">
        <f>IF(AND('331-CT'!$E$7=TH!H705,OR(L705="331",M705="331")),"331",IF(AND(OR(L705="131",M705="131"),H705='131-CT'!$E$7),"131",""))</f>
        <v/>
      </c>
      <c r="O705" s="89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15"/>
      <c r="AC705" s="560" t="str">
        <f>IF(VLOOKUP(H705,DS_131,1,0)&lt;&gt;"","","x")</f>
        <v/>
      </c>
    </row>
    <row r="706" spans="1:30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46"/>
        <v>12</v>
      </c>
      <c r="C706" s="184">
        <f t="shared" si="47"/>
        <v>42004</v>
      </c>
      <c r="D706" s="184" t="s">
        <v>990</v>
      </c>
      <c r="E706" s="191">
        <v>42004</v>
      </c>
      <c r="F706" s="192" t="s">
        <v>886</v>
      </c>
      <c r="G706" s="468" t="s">
        <v>887</v>
      </c>
      <c r="H706" s="193" t="s">
        <v>888</v>
      </c>
      <c r="I706" s="257">
        <v>200</v>
      </c>
      <c r="J706" s="257">
        <v>10600</v>
      </c>
      <c r="K706" s="568">
        <f>ROUND(I706*J706,0)</f>
        <v>2120000</v>
      </c>
      <c r="L706" s="569" t="s">
        <v>253</v>
      </c>
      <c r="M706" s="569" t="s">
        <v>177</v>
      </c>
      <c r="N706" s="52" t="str">
        <f>IF(AND('331-CT'!$E$7=TH!H706,OR(L706="331",M706="331")),"331",IF(AND(OR(L706="131",M706="131"),H706='131-CT'!$E$7),"131",""))</f>
        <v/>
      </c>
      <c r="O706" s="89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15"/>
      <c r="AC706" s="211" t="str">
        <f>IF(F706=VLOOKUP(F706,NXT!$C$12:$C$345,1,0),"","x")</f>
        <v/>
      </c>
      <c r="AD706" s="560"/>
    </row>
    <row r="707" spans="1:30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46"/>
        <v>12</v>
      </c>
      <c r="C707" s="184">
        <f t="shared" si="47"/>
        <v>42004</v>
      </c>
      <c r="D707" s="184" t="s">
        <v>990</v>
      </c>
      <c r="E707" s="191">
        <v>42004</v>
      </c>
      <c r="F707" s="192" t="s">
        <v>889</v>
      </c>
      <c r="G707" s="468" t="s">
        <v>887</v>
      </c>
      <c r="H707" s="193" t="s">
        <v>888</v>
      </c>
      <c r="I707" s="257">
        <v>100</v>
      </c>
      <c r="J707" s="257">
        <v>45000</v>
      </c>
      <c r="K707" s="568">
        <f>ROUND(I707*J707,0)</f>
        <v>4500000</v>
      </c>
      <c r="L707" s="569" t="s">
        <v>253</v>
      </c>
      <c r="M707" s="569" t="s">
        <v>177</v>
      </c>
      <c r="N707" s="52" t="str">
        <f>IF(AND('331-CT'!$E$7=TH!H707,OR(L707="331",M707="331")),"331",IF(AND(OR(L707="131",M707="131"),H707='131-CT'!$E$7),"131",""))</f>
        <v/>
      </c>
      <c r="O707" s="89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15"/>
      <c r="AC707" s="211" t="str">
        <f>IF(F707=VLOOKUP(F707,NXT!$C$12:$C$345,1,0),"","x")</f>
        <v/>
      </c>
    </row>
    <row r="708" spans="1:30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46"/>
        <v>12</v>
      </c>
      <c r="C708" s="184">
        <f t="shared" si="47"/>
        <v>42004</v>
      </c>
      <c r="D708" s="184" t="s">
        <v>990</v>
      </c>
      <c r="E708" s="191">
        <v>42004</v>
      </c>
      <c r="F708" s="192" t="s">
        <v>890</v>
      </c>
      <c r="G708" s="468" t="s">
        <v>887</v>
      </c>
      <c r="H708" s="193" t="s">
        <v>888</v>
      </c>
      <c r="I708" s="256">
        <v>100</v>
      </c>
      <c r="J708" s="256">
        <v>45300</v>
      </c>
      <c r="K708" s="568">
        <f>ROUND(I708*J708,0)</f>
        <v>4530000</v>
      </c>
      <c r="L708" s="569" t="s">
        <v>253</v>
      </c>
      <c r="M708" s="569" t="s">
        <v>177</v>
      </c>
      <c r="N708" s="52" t="str">
        <f>IF(AND('331-CT'!$E$7=TH!H708,OR(L708="331",M708="331")),"331",IF(AND(OR(L708="131",M708="131"),H708='131-CT'!$E$7),"131",""))</f>
        <v/>
      </c>
      <c r="O708" s="89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15"/>
      <c r="AC708" s="211" t="str">
        <f>IF(F708=VLOOKUP(F708,NXT!$C$12:$C$345,1,0),"","x")</f>
        <v/>
      </c>
      <c r="AD708" s="560"/>
    </row>
    <row r="709" spans="1:30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46"/>
        <v>12</v>
      </c>
      <c r="C709" s="184">
        <f t="shared" si="47"/>
        <v>42004</v>
      </c>
      <c r="D709" s="184" t="s">
        <v>990</v>
      </c>
      <c r="E709" s="191">
        <v>42004</v>
      </c>
      <c r="F709" s="192" t="s">
        <v>891</v>
      </c>
      <c r="G709" s="468" t="s">
        <v>887</v>
      </c>
      <c r="H709" s="193" t="s">
        <v>888</v>
      </c>
      <c r="I709" s="256">
        <v>150</v>
      </c>
      <c r="J709" s="256">
        <v>38800</v>
      </c>
      <c r="K709" s="568">
        <f>ROUND(I709*J709,0)</f>
        <v>5820000</v>
      </c>
      <c r="L709" s="569" t="s">
        <v>253</v>
      </c>
      <c r="M709" s="569" t="s">
        <v>177</v>
      </c>
      <c r="N709" s="52" t="str">
        <f>IF(AND('331-CT'!$E$7=TH!H709,OR(L709="331",M709="331")),"331",IF(AND(OR(L709="131",M709="131"),H709='131-CT'!$E$7),"131",""))</f>
        <v/>
      </c>
      <c r="O709" s="89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15"/>
      <c r="AC709" s="211" t="str">
        <f>IF(F709=VLOOKUP(F709,NXT!$C$12:$C$345,1,0),"","x")</f>
        <v/>
      </c>
    </row>
    <row r="710" spans="1:30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46"/>
        <v>12</v>
      </c>
      <c r="C710" s="184">
        <f t="shared" si="47"/>
        <v>42004</v>
      </c>
      <c r="D710" s="184" t="s">
        <v>990</v>
      </c>
      <c r="E710" s="191">
        <v>42004</v>
      </c>
      <c r="F710" s="192" t="s">
        <v>421</v>
      </c>
      <c r="G710" s="468" t="s">
        <v>887</v>
      </c>
      <c r="H710" s="193" t="s">
        <v>888</v>
      </c>
      <c r="I710" s="256"/>
      <c r="J710" s="256"/>
      <c r="K710" s="568">
        <v>1697000</v>
      </c>
      <c r="L710" s="569" t="s">
        <v>253</v>
      </c>
      <c r="M710" s="569" t="s">
        <v>365</v>
      </c>
      <c r="N710" s="52" t="str">
        <f>IF(AND('331-CT'!$E$7=TH!H710,OR(L710="331",M710="331")),"331",IF(AND(OR(L710="131",M710="131"),H710='131-CT'!$E$7),"131",""))</f>
        <v/>
      </c>
      <c r="O710" s="89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15"/>
      <c r="AC710" s="560" t="str">
        <f>IF(VLOOKUP(H710,DS_131,1,0)&lt;&gt;"","","x")</f>
        <v/>
      </c>
      <c r="AD710" s="560"/>
    </row>
    <row r="711" spans="1:30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46"/>
        <v>12</v>
      </c>
      <c r="C711" s="184">
        <f t="shared" si="47"/>
        <v>42004</v>
      </c>
      <c r="D711" s="184" t="s">
        <v>991</v>
      </c>
      <c r="E711" s="191">
        <v>42004</v>
      </c>
      <c r="F711" s="192" t="s">
        <v>892</v>
      </c>
      <c r="G711" s="468" t="s">
        <v>893</v>
      </c>
      <c r="H711" s="193" t="s">
        <v>455</v>
      </c>
      <c r="I711" s="256">
        <v>1280</v>
      </c>
      <c r="J711" s="256">
        <v>11110</v>
      </c>
      <c r="K711" s="568">
        <f>ROUND(I711*J711,0)</f>
        <v>14220800</v>
      </c>
      <c r="L711" s="569" t="s">
        <v>253</v>
      </c>
      <c r="M711" s="569" t="s">
        <v>177</v>
      </c>
      <c r="N711" s="52" t="str">
        <f>IF(AND('331-CT'!$E$7=TH!H711,OR(L711="331",M711="331")),"331",IF(AND(OR(L711="131",M711="131"),H711='131-CT'!$E$7),"131",""))</f>
        <v/>
      </c>
      <c r="O711" s="89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15"/>
      <c r="AC711" s="211" t="str">
        <f>IF(F711=VLOOKUP(F711,NXT!$C$12:$C$345,1,0),"","x")</f>
        <v/>
      </c>
    </row>
    <row r="712" spans="1:30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46"/>
        <v>12</v>
      </c>
      <c r="C712" s="184">
        <f t="shared" si="47"/>
        <v>42004</v>
      </c>
      <c r="D712" s="184" t="s">
        <v>991</v>
      </c>
      <c r="E712" s="191">
        <v>42004</v>
      </c>
      <c r="F712" s="192" t="s">
        <v>421</v>
      </c>
      <c r="G712" s="468" t="s">
        <v>893</v>
      </c>
      <c r="H712" s="193" t="s">
        <v>455</v>
      </c>
      <c r="I712" s="257"/>
      <c r="J712" s="257"/>
      <c r="K712" s="568">
        <v>1420800</v>
      </c>
      <c r="L712" s="569" t="s">
        <v>253</v>
      </c>
      <c r="M712" s="569" t="s">
        <v>365</v>
      </c>
      <c r="N712" s="52" t="str">
        <f>IF(AND('331-CT'!$E$7=TH!H712,OR(L712="331",M712="331")),"331",IF(AND(OR(L712="131",M712="131"),H712='131-CT'!$E$7),"131",""))</f>
        <v/>
      </c>
      <c r="O712" s="89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15"/>
      <c r="AC712" s="560" t="str">
        <f>IF(VLOOKUP(H712,DS_131,1,0)&lt;&gt;"","","x")</f>
        <v/>
      </c>
      <c r="AD712" s="560"/>
    </row>
    <row r="713" spans="1:30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ref="B713:B738" si="48">IF(C713&lt;&gt;"",MONTH(C713),"")</f>
        <v>1</v>
      </c>
      <c r="C713" s="184">
        <f t="shared" ref="C713:C731" si="49">E713</f>
        <v>41645</v>
      </c>
      <c r="D713" s="184" t="s">
        <v>894</v>
      </c>
      <c r="E713" s="191">
        <v>41645</v>
      </c>
      <c r="F713" s="192" t="s">
        <v>896</v>
      </c>
      <c r="G713" s="468" t="s">
        <v>326</v>
      </c>
      <c r="H713" s="7" t="s">
        <v>909</v>
      </c>
      <c r="I713" s="256"/>
      <c r="J713" s="256"/>
      <c r="K713" s="568">
        <v>8132025</v>
      </c>
      <c r="L713" s="194" t="s">
        <v>24</v>
      </c>
      <c r="M713" s="194" t="s">
        <v>253</v>
      </c>
      <c r="N713" s="52" t="str">
        <f>IF(AND('331-CT'!$E$7=TH!H713,OR(L713="331",M713="331")),"331",IF(AND(OR(L713="131",M713="131"),H713='131-CT'!$E$7),"131",""))</f>
        <v/>
      </c>
      <c r="O713" s="89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15"/>
    </row>
    <row r="714" spans="1:30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48"/>
        <v>1</v>
      </c>
      <c r="C714" s="184">
        <f t="shared" si="49"/>
        <v>41647</v>
      </c>
      <c r="D714" s="184" t="s">
        <v>894</v>
      </c>
      <c r="E714" s="191">
        <v>41647</v>
      </c>
      <c r="F714" s="192" t="s">
        <v>896</v>
      </c>
      <c r="G714" s="468" t="s">
        <v>326</v>
      </c>
      <c r="H714" s="7" t="s">
        <v>908</v>
      </c>
      <c r="I714" s="256"/>
      <c r="J714" s="256"/>
      <c r="K714" s="38">
        <v>11165000</v>
      </c>
      <c r="L714" s="194" t="s">
        <v>24</v>
      </c>
      <c r="M714" s="194" t="s">
        <v>253</v>
      </c>
      <c r="N714" s="52" t="str">
        <f>IF(AND('331-CT'!$E$7=TH!H714,OR(L714="331",M714="331")),"331",IF(AND(OR(L714="131",M714="131"),H714='131-CT'!$E$7),"131",""))</f>
        <v/>
      </c>
      <c r="O714" s="89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15"/>
      <c r="AD714" s="560"/>
    </row>
    <row r="715" spans="1:30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48"/>
        <v>1</v>
      </c>
      <c r="C715" s="184">
        <f t="shared" si="49"/>
        <v>41649</v>
      </c>
      <c r="D715" s="184" t="s">
        <v>894</v>
      </c>
      <c r="E715" s="191">
        <v>41649</v>
      </c>
      <c r="F715" s="192" t="s">
        <v>896</v>
      </c>
      <c r="G715" s="468" t="s">
        <v>326</v>
      </c>
      <c r="H715" s="909" t="s">
        <v>863</v>
      </c>
      <c r="I715" s="257"/>
      <c r="J715" s="256"/>
      <c r="K715" s="568">
        <v>8025000</v>
      </c>
      <c r="L715" s="194" t="s">
        <v>24</v>
      </c>
      <c r="M715" s="194" t="s">
        <v>253</v>
      </c>
      <c r="N715" s="52" t="str">
        <f>IF(AND('331-CT'!$E$7=TH!H715,OR(L715="331",M715="331")),"331",IF(AND(OR(L715="131",M715="131"),H715='131-CT'!$E$7),"131",""))</f>
        <v/>
      </c>
      <c r="O715" s="89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15"/>
    </row>
    <row r="716" spans="1:30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48"/>
        <v>1</v>
      </c>
      <c r="C716" s="184">
        <f t="shared" si="49"/>
        <v>41656</v>
      </c>
      <c r="D716" s="184" t="s">
        <v>894</v>
      </c>
      <c r="E716" s="191">
        <v>41656</v>
      </c>
      <c r="F716" s="192" t="s">
        <v>896</v>
      </c>
      <c r="G716" s="468" t="s">
        <v>326</v>
      </c>
      <c r="H716" s="7" t="s">
        <v>911</v>
      </c>
      <c r="I716" s="256"/>
      <c r="J716" s="256"/>
      <c r="K716" s="568">
        <v>13959000</v>
      </c>
      <c r="L716" s="194" t="s">
        <v>24</v>
      </c>
      <c r="M716" s="194" t="s">
        <v>253</v>
      </c>
      <c r="N716" s="52" t="str">
        <f>IF(AND('331-CT'!$E$7=TH!H716,OR(L716="331",M716="331")),"331",IF(AND(OR(L716="131",M716="131"),H716='131-CT'!$E$7),"131",""))</f>
        <v/>
      </c>
      <c r="O716" s="89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15"/>
    </row>
    <row r="717" spans="1:30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48"/>
        <v>1</v>
      </c>
      <c r="C717" s="184">
        <f t="shared" si="49"/>
        <v>41659</v>
      </c>
      <c r="D717" s="184" t="s">
        <v>894</v>
      </c>
      <c r="E717" s="191">
        <v>41659</v>
      </c>
      <c r="F717" s="192" t="s">
        <v>896</v>
      </c>
      <c r="G717" s="468" t="s">
        <v>326</v>
      </c>
      <c r="H717" s="7" t="s">
        <v>911</v>
      </c>
      <c r="I717" s="256"/>
      <c r="J717" s="256"/>
      <c r="K717" s="568">
        <v>13513500</v>
      </c>
      <c r="L717" s="194" t="s">
        <v>24</v>
      </c>
      <c r="M717" s="194" t="s">
        <v>253</v>
      </c>
      <c r="N717" s="52" t="str">
        <f>IF(AND('331-CT'!$E$7=TH!H717,OR(L717="331",M717="331")),"331",IF(AND(OR(L717="131",M717="131"),H717='131-CT'!$E$7),"131",""))</f>
        <v/>
      </c>
      <c r="O717" s="89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15"/>
    </row>
    <row r="718" spans="1:30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48"/>
        <v>1</v>
      </c>
      <c r="C718" s="184">
        <f t="shared" si="49"/>
        <v>41659</v>
      </c>
      <c r="D718" s="184" t="s">
        <v>894</v>
      </c>
      <c r="E718" s="191">
        <v>41659</v>
      </c>
      <c r="F718" s="192" t="s">
        <v>896</v>
      </c>
      <c r="G718" s="468" t="s">
        <v>326</v>
      </c>
      <c r="H718" s="7" t="s">
        <v>909</v>
      </c>
      <c r="I718" s="256"/>
      <c r="J718" s="256"/>
      <c r="K718" s="568">
        <v>17257460</v>
      </c>
      <c r="L718" s="194" t="s">
        <v>24</v>
      </c>
      <c r="M718" s="194" t="s">
        <v>253</v>
      </c>
      <c r="N718" s="52" t="str">
        <f>IF(AND('331-CT'!$E$7=TH!H718,OR(L718="331",M718="331")),"331",IF(AND(OR(L718="131",M718="131"),H718='131-CT'!$E$7),"131",""))</f>
        <v/>
      </c>
      <c r="O718" s="89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15"/>
    </row>
    <row r="719" spans="1:30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48"/>
        <v>1</v>
      </c>
      <c r="C719" s="184">
        <f t="shared" si="49"/>
        <v>41664</v>
      </c>
      <c r="D719" s="184" t="s">
        <v>894</v>
      </c>
      <c r="E719" s="191">
        <v>41664</v>
      </c>
      <c r="F719" s="192" t="s">
        <v>897</v>
      </c>
      <c r="G719" s="468" t="s">
        <v>326</v>
      </c>
      <c r="H719" s="7"/>
      <c r="I719" s="256"/>
      <c r="J719" s="256"/>
      <c r="K719" s="568">
        <v>9936</v>
      </c>
      <c r="L719" s="194" t="s">
        <v>24</v>
      </c>
      <c r="M719" s="194" t="s">
        <v>40</v>
      </c>
      <c r="N719" s="52" t="str">
        <f>IF(AND('331-CT'!$E$7=TH!H719,OR(L719="331",M719="331")),"331",IF(AND(OR(L719="131",M719="131"),H719='131-CT'!$E$7),"131",""))</f>
        <v/>
      </c>
      <c r="O719" s="89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15"/>
    </row>
    <row r="720" spans="1:30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48"/>
        <v>1</v>
      </c>
      <c r="C720" s="184">
        <f t="shared" si="49"/>
        <v>41660</v>
      </c>
      <c r="D720" s="184" t="s">
        <v>894</v>
      </c>
      <c r="E720" s="191">
        <v>41660</v>
      </c>
      <c r="F720" s="192" t="s">
        <v>896</v>
      </c>
      <c r="G720" s="468" t="s">
        <v>326</v>
      </c>
      <c r="H720" s="7" t="s">
        <v>910</v>
      </c>
      <c r="I720" s="256"/>
      <c r="J720" s="256"/>
      <c r="K720" s="568">
        <v>13690600</v>
      </c>
      <c r="L720" s="194" t="s">
        <v>24</v>
      </c>
      <c r="M720" s="194" t="s">
        <v>253</v>
      </c>
      <c r="N720" s="52" t="str">
        <f>IF(AND('331-CT'!$E$7=TH!H720,OR(L720="331",M720="331")),"331",IF(AND(OR(L720="131",M720="131"),H720='131-CT'!$E$7),"131",""))</f>
        <v/>
      </c>
      <c r="O720" s="89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15"/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48"/>
        <v>2</v>
      </c>
      <c r="C721" s="184">
        <f t="shared" si="49"/>
        <v>41695</v>
      </c>
      <c r="D721" s="184" t="s">
        <v>894</v>
      </c>
      <c r="E721" s="191">
        <v>41695</v>
      </c>
      <c r="F721" s="192" t="s">
        <v>897</v>
      </c>
      <c r="G721" s="468" t="s">
        <v>326</v>
      </c>
      <c r="H721" s="193"/>
      <c r="I721" s="256"/>
      <c r="J721" s="256"/>
      <c r="K721" s="568">
        <v>2311</v>
      </c>
      <c r="L721" s="194" t="s">
        <v>24</v>
      </c>
      <c r="M721" s="194" t="s">
        <v>40</v>
      </c>
      <c r="N721" s="52" t="str">
        <f>IF(AND('331-CT'!$E$7=TH!H721,OR(L721="331",M721="331")),"331",IF(AND(OR(L721="131",M721="131"),H721='131-CT'!$E$7),"131",""))</f>
        <v/>
      </c>
      <c r="O721" s="89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15"/>
      <c r="AC721" s="560"/>
      <c r="AD721" s="560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48"/>
        <v>1</v>
      </c>
      <c r="C722" s="184">
        <f t="shared" si="49"/>
        <v>41649</v>
      </c>
      <c r="D722" s="184" t="s">
        <v>901</v>
      </c>
      <c r="E722" s="191">
        <v>41649</v>
      </c>
      <c r="F722" s="192" t="s">
        <v>898</v>
      </c>
      <c r="G722" s="468" t="s">
        <v>326</v>
      </c>
      <c r="H722" s="193" t="s">
        <v>899</v>
      </c>
      <c r="I722" s="256"/>
      <c r="J722" s="256"/>
      <c r="K722" s="568">
        <v>27300000</v>
      </c>
      <c r="L722" s="194" t="s">
        <v>47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89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>x</v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15"/>
      <c r="AD722" s="629"/>
      <c r="AE722" s="629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48"/>
        <v>1</v>
      </c>
      <c r="C723" s="184">
        <f t="shared" si="49"/>
        <v>41660</v>
      </c>
      <c r="D723" s="184" t="s">
        <v>901</v>
      </c>
      <c r="E723" s="191">
        <v>41660</v>
      </c>
      <c r="F723" s="192" t="s">
        <v>898</v>
      </c>
      <c r="G723" s="468" t="s">
        <v>326</v>
      </c>
      <c r="H723" s="193" t="s">
        <v>899</v>
      </c>
      <c r="I723" s="256"/>
      <c r="J723" s="256"/>
      <c r="K723" s="568">
        <v>44700000</v>
      </c>
      <c r="L723" s="194" t="s">
        <v>47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89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>x</v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15"/>
      <c r="AC723" s="560"/>
      <c r="AD723" s="560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48"/>
        <v>3</v>
      </c>
      <c r="C724" s="184">
        <f t="shared" si="49"/>
        <v>41701</v>
      </c>
      <c r="D724" s="184" t="s">
        <v>894</v>
      </c>
      <c r="E724" s="191">
        <v>41701</v>
      </c>
      <c r="F724" s="192" t="s">
        <v>896</v>
      </c>
      <c r="G724" s="468" t="s">
        <v>326</v>
      </c>
      <c r="H724" s="7" t="s">
        <v>911</v>
      </c>
      <c r="I724" s="256"/>
      <c r="J724" s="256"/>
      <c r="K724" s="568">
        <v>24999975</v>
      </c>
      <c r="L724" s="194" t="s">
        <v>24</v>
      </c>
      <c r="M724" s="194" t="s">
        <v>253</v>
      </c>
      <c r="N724" s="52" t="str">
        <f>IF(AND('331-CT'!$E$7=TH!H724,OR(L724="331",M724="331")),"331",IF(AND(OR(L724="131",M724="131"),H724='131-CT'!$E$7),"131",""))</f>
        <v/>
      </c>
      <c r="O724" s="89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1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48"/>
        <v>3</v>
      </c>
      <c r="C725" s="184">
        <f t="shared" si="49"/>
        <v>41701</v>
      </c>
      <c r="D725" s="184" t="s">
        <v>894</v>
      </c>
      <c r="E725" s="191">
        <v>41701</v>
      </c>
      <c r="F725" s="192" t="s">
        <v>896</v>
      </c>
      <c r="G725" s="468" t="s">
        <v>326</v>
      </c>
      <c r="H725" s="7" t="s">
        <v>908</v>
      </c>
      <c r="I725" s="256"/>
      <c r="J725" s="256"/>
      <c r="K725" s="568">
        <v>10941700</v>
      </c>
      <c r="L725" s="194" t="s">
        <v>24</v>
      </c>
      <c r="M725" s="194" t="s">
        <v>253</v>
      </c>
      <c r="N725" s="52" t="str">
        <f>IF(AND('331-CT'!$E$7=TH!H725,OR(L725="331",M725="331")),"331",IF(AND(OR(L725="131",M725="131"),H725='131-CT'!$E$7),"131",""))</f>
        <v/>
      </c>
      <c r="O725" s="89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15"/>
      <c r="AC725" s="560"/>
      <c r="AD725" s="560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48"/>
        <v>3</v>
      </c>
      <c r="C726" s="184">
        <f t="shared" si="49"/>
        <v>41723</v>
      </c>
      <c r="D726" s="184" t="s">
        <v>894</v>
      </c>
      <c r="E726" s="191">
        <v>41723</v>
      </c>
      <c r="F726" s="192" t="s">
        <v>896</v>
      </c>
      <c r="G726" s="468" t="s">
        <v>326</v>
      </c>
      <c r="H726" s="7" t="s">
        <v>909</v>
      </c>
      <c r="I726" s="256"/>
      <c r="J726" s="256"/>
      <c r="K726" s="568">
        <v>15065490</v>
      </c>
      <c r="L726" s="194" t="s">
        <v>24</v>
      </c>
      <c r="M726" s="194" t="s">
        <v>253</v>
      </c>
      <c r="N726" s="52" t="str">
        <f>IF(AND('331-CT'!$E$7=TH!H726,OR(L726="331",M726="331")),"331",IF(AND(OR(L726="131",M726="131"),H726='131-CT'!$E$7),"131",""))</f>
        <v/>
      </c>
      <c r="O726" s="89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1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48"/>
        <v>3</v>
      </c>
      <c r="C727" s="184">
        <f t="shared" si="49"/>
        <v>41723</v>
      </c>
      <c r="D727" s="184" t="s">
        <v>894</v>
      </c>
      <c r="E727" s="191">
        <v>41723</v>
      </c>
      <c r="F727" s="192" t="s">
        <v>897</v>
      </c>
      <c r="G727" s="468" t="s">
        <v>326</v>
      </c>
      <c r="H727" s="193"/>
      <c r="I727" s="256"/>
      <c r="J727" s="256"/>
      <c r="K727" s="568">
        <v>4393</v>
      </c>
      <c r="L727" s="194" t="s">
        <v>24</v>
      </c>
      <c r="M727" s="194" t="s">
        <v>40</v>
      </c>
      <c r="N727" s="52" t="str">
        <f>IF(AND('331-CT'!$E$7=TH!H727,OR(L727="331",M727="331")),"331",IF(AND(OR(L727="131",M727="131"),H727='131-CT'!$E$7),"131",""))</f>
        <v/>
      </c>
      <c r="O727" s="89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15"/>
      <c r="AC727" s="560"/>
      <c r="AD727" s="560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48"/>
        <v>3</v>
      </c>
      <c r="C728" s="184">
        <f t="shared" si="49"/>
        <v>41702</v>
      </c>
      <c r="D728" s="184" t="s">
        <v>901</v>
      </c>
      <c r="E728" s="191">
        <v>41702</v>
      </c>
      <c r="F728" s="192" t="s">
        <v>898</v>
      </c>
      <c r="G728" s="468" t="s">
        <v>326</v>
      </c>
      <c r="H728" s="193" t="s">
        <v>899</v>
      </c>
      <c r="I728" s="256"/>
      <c r="J728" s="256"/>
      <c r="K728" s="568">
        <v>49700000</v>
      </c>
      <c r="L728" s="194" t="s">
        <v>47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9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>x</v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15"/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48"/>
        <v>3</v>
      </c>
      <c r="C729" s="184">
        <f t="shared" si="49"/>
        <v>41729</v>
      </c>
      <c r="D729" s="184" t="s">
        <v>901</v>
      </c>
      <c r="E729" s="191">
        <v>41729</v>
      </c>
      <c r="F729" s="192" t="s">
        <v>895</v>
      </c>
      <c r="G729" s="468" t="s">
        <v>326</v>
      </c>
      <c r="H729" s="7" t="s">
        <v>1144</v>
      </c>
      <c r="I729" s="256"/>
      <c r="J729" s="256"/>
      <c r="K729" s="38">
        <v>15000000</v>
      </c>
      <c r="L729" s="194" t="s">
        <v>8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9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15"/>
      <c r="AD729" s="560"/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48"/>
        <v>3</v>
      </c>
      <c r="C730" s="184">
        <f t="shared" si="49"/>
        <v>41729</v>
      </c>
      <c r="D730" s="184" t="s">
        <v>901</v>
      </c>
      <c r="E730" s="191">
        <v>41729</v>
      </c>
      <c r="F730" s="189" t="s">
        <v>900</v>
      </c>
      <c r="G730" s="468" t="s">
        <v>326</v>
      </c>
      <c r="H730" s="7"/>
      <c r="I730" s="256"/>
      <c r="J730" s="256"/>
      <c r="K730" s="568">
        <v>15000</v>
      </c>
      <c r="L730" s="39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9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15"/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48"/>
        <v>4</v>
      </c>
      <c r="C731" s="184">
        <f t="shared" si="49"/>
        <v>41732</v>
      </c>
      <c r="D731" s="184" t="s">
        <v>894</v>
      </c>
      <c r="E731" s="191">
        <v>41732</v>
      </c>
      <c r="F731" s="192" t="s">
        <v>896</v>
      </c>
      <c r="G731" s="468" t="s">
        <v>326</v>
      </c>
      <c r="H731" s="7" t="s">
        <v>908</v>
      </c>
      <c r="I731" s="256"/>
      <c r="J731" s="256"/>
      <c r="K731" s="568">
        <v>11165000</v>
      </c>
      <c r="L731" s="39" t="s">
        <v>24</v>
      </c>
      <c r="M731" s="194" t="s">
        <v>253</v>
      </c>
      <c r="N731" s="52" t="str">
        <f>IF(AND('331-CT'!$E$7=TH!H731,OR(L731="331",M731="331")),"331",IF(AND(OR(L731="131",M731="131"),H731='131-CT'!$E$7),"131",""))</f>
        <v/>
      </c>
      <c r="O731" s="89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15"/>
    </row>
    <row r="732" spans="1:31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48"/>
        <v>4</v>
      </c>
      <c r="C732" s="184">
        <f t="shared" ref="C732:C740" si="50">E732</f>
        <v>41734</v>
      </c>
      <c r="D732" s="184" t="s">
        <v>894</v>
      </c>
      <c r="E732" s="191">
        <v>41734</v>
      </c>
      <c r="F732" s="192" t="s">
        <v>896</v>
      </c>
      <c r="G732" s="468" t="s">
        <v>326</v>
      </c>
      <c r="H732" s="7" t="s">
        <v>455</v>
      </c>
      <c r="I732" s="256"/>
      <c r="J732" s="256"/>
      <c r="K732" s="568">
        <v>9450000</v>
      </c>
      <c r="L732" s="39" t="s">
        <v>24</v>
      </c>
      <c r="M732" s="194" t="s">
        <v>253</v>
      </c>
      <c r="N732" s="52" t="str">
        <f>IF(AND('331-CT'!$E$7=TH!H732,OR(L732="331",M732="331")),"331",IF(AND(OR(L732="131",M732="131"),H732='131-CT'!$E$7),"131",""))</f>
        <v/>
      </c>
      <c r="O732" s="89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15"/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48"/>
        <v>4</v>
      </c>
      <c r="C733" s="184">
        <f t="shared" si="50"/>
        <v>41736</v>
      </c>
      <c r="D733" s="184" t="s">
        <v>894</v>
      </c>
      <c r="E733" s="191">
        <v>41736</v>
      </c>
      <c r="F733" s="192" t="s">
        <v>896</v>
      </c>
      <c r="G733" s="468" t="s">
        <v>326</v>
      </c>
      <c r="H733" s="7" t="s">
        <v>911</v>
      </c>
      <c r="I733" s="256"/>
      <c r="J733" s="256"/>
      <c r="K733" s="568">
        <v>13200000</v>
      </c>
      <c r="L733" s="39" t="s">
        <v>24</v>
      </c>
      <c r="M733" s="194" t="s">
        <v>253</v>
      </c>
      <c r="N733" s="52" t="str">
        <f>IF(AND('331-CT'!$E$7=TH!H733,OR(L733="331",M733="331")),"331",IF(AND(OR(L733="131",M733="131"),H733='131-CT'!$E$7),"131",""))</f>
        <v/>
      </c>
      <c r="O733" s="89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15"/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48"/>
        <v>4</v>
      </c>
      <c r="C734" s="184">
        <f t="shared" si="50"/>
        <v>41740</v>
      </c>
      <c r="D734" s="184" t="s">
        <v>894</v>
      </c>
      <c r="E734" s="191">
        <v>41740</v>
      </c>
      <c r="F734" s="192" t="s">
        <v>896</v>
      </c>
      <c r="G734" s="468" t="s">
        <v>326</v>
      </c>
      <c r="H734" s="7" t="s">
        <v>910</v>
      </c>
      <c r="I734" s="256"/>
      <c r="J734" s="256"/>
      <c r="K734" s="568">
        <v>8367370</v>
      </c>
      <c r="L734" s="39" t="s">
        <v>24</v>
      </c>
      <c r="M734" s="194" t="s">
        <v>253</v>
      </c>
      <c r="N734" s="52" t="str">
        <f>IF(AND('331-CT'!$E$7=TH!H734,OR(L734="331",M734="331")),"331",IF(AND(OR(L734="131",M734="131"),H734='131-CT'!$E$7),"131",""))</f>
        <v/>
      </c>
      <c r="O734" s="89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15"/>
    </row>
    <row r="735" spans="1:31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48"/>
        <v>4</v>
      </c>
      <c r="C735" s="184">
        <f t="shared" si="50"/>
        <v>41746</v>
      </c>
      <c r="D735" s="184" t="s">
        <v>894</v>
      </c>
      <c r="E735" s="191">
        <v>41746</v>
      </c>
      <c r="F735" s="192" t="s">
        <v>896</v>
      </c>
      <c r="G735" s="468" t="s">
        <v>326</v>
      </c>
      <c r="H735" s="7" t="s">
        <v>491</v>
      </c>
      <c r="I735" s="256"/>
      <c r="J735" s="256"/>
      <c r="K735" s="568">
        <v>9402800</v>
      </c>
      <c r="L735" s="39" t="s">
        <v>24</v>
      </c>
      <c r="M735" s="194" t="s">
        <v>253</v>
      </c>
      <c r="N735" s="52" t="str">
        <f>IF(AND('331-CT'!$E$7=TH!H735,OR(L735="331",M735="331")),"331",IF(AND(OR(L735="131",M735="131"),H735='131-CT'!$E$7),"131",""))</f>
        <v/>
      </c>
      <c r="O735" s="89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15"/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48"/>
        <v>4</v>
      </c>
      <c r="C736" s="184">
        <f t="shared" si="50"/>
        <v>41751</v>
      </c>
      <c r="D736" s="184" t="s">
        <v>894</v>
      </c>
      <c r="E736" s="191">
        <v>41751</v>
      </c>
      <c r="F736" s="192" t="s">
        <v>896</v>
      </c>
      <c r="G736" s="468" t="s">
        <v>326</v>
      </c>
      <c r="H736" s="7" t="s">
        <v>909</v>
      </c>
      <c r="I736" s="257"/>
      <c r="J736" s="257"/>
      <c r="K736" s="568">
        <v>14317160</v>
      </c>
      <c r="L736" s="39" t="s">
        <v>24</v>
      </c>
      <c r="M736" s="194" t="s">
        <v>253</v>
      </c>
      <c r="N736" s="52" t="str">
        <f>IF(AND('331-CT'!$E$7=TH!H736,OR(L736="331",M736="331")),"331",IF(AND(OR(L736="131",M736="131"),H736='131-CT'!$E$7),"131",""))</f>
        <v/>
      </c>
      <c r="O736" s="89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15"/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48"/>
        <v>4</v>
      </c>
      <c r="C737" s="184">
        <f t="shared" si="50"/>
        <v>41753</v>
      </c>
      <c r="D737" s="184" t="s">
        <v>894</v>
      </c>
      <c r="E737" s="191">
        <v>41753</v>
      </c>
      <c r="F737" s="192" t="s">
        <v>896</v>
      </c>
      <c r="G737" s="468" t="s">
        <v>326</v>
      </c>
      <c r="H737" s="7" t="s">
        <v>908</v>
      </c>
      <c r="I737" s="256"/>
      <c r="J737" s="256"/>
      <c r="K737" s="568">
        <v>11165000</v>
      </c>
      <c r="L737" s="39" t="s">
        <v>24</v>
      </c>
      <c r="M737" s="194" t="s">
        <v>253</v>
      </c>
      <c r="N737" s="52" t="str">
        <f>IF(AND('331-CT'!$E$7=TH!H737,OR(L737="331",M737="331")),"331",IF(AND(OR(L737="131",M737="131"),H737='131-CT'!$E$7),"131",""))</f>
        <v/>
      </c>
      <c r="O737" s="89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15"/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48"/>
        <v>4</v>
      </c>
      <c r="C738" s="184">
        <f t="shared" si="50"/>
        <v>41754</v>
      </c>
      <c r="D738" s="184" t="s">
        <v>894</v>
      </c>
      <c r="E738" s="191">
        <v>41754</v>
      </c>
      <c r="F738" s="192" t="s">
        <v>897</v>
      </c>
      <c r="G738" s="468" t="s">
        <v>326</v>
      </c>
      <c r="H738" s="193"/>
      <c r="I738" s="256"/>
      <c r="J738" s="256"/>
      <c r="K738" s="568">
        <v>13168</v>
      </c>
      <c r="L738" s="39" t="s">
        <v>24</v>
      </c>
      <c r="M738" s="194" t="s">
        <v>40</v>
      </c>
      <c r="N738" s="52" t="str">
        <f>IF(AND('331-CT'!$E$7=TH!H738,OR(L738="331",M738="331")),"331",IF(AND(OR(L738="131",M738="131"),H738='131-CT'!$E$7),"131",""))</f>
        <v/>
      </c>
      <c r="O738" s="89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15"/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ref="B739:B802" si="51">IF(C739&lt;&gt;"",MONTH(C739),"")</f>
        <v>4</v>
      </c>
      <c r="C739" s="184">
        <f t="shared" si="50"/>
        <v>41757</v>
      </c>
      <c r="D739" s="184" t="s">
        <v>894</v>
      </c>
      <c r="E739" s="191">
        <v>41757</v>
      </c>
      <c r="F739" s="192" t="s">
        <v>896</v>
      </c>
      <c r="G739" s="468" t="s">
        <v>326</v>
      </c>
      <c r="H739" s="45" t="s">
        <v>470</v>
      </c>
      <c r="I739" s="256"/>
      <c r="J739" s="256"/>
      <c r="K739" s="568">
        <v>6071780</v>
      </c>
      <c r="L739" s="39" t="s">
        <v>24</v>
      </c>
      <c r="M739" s="194" t="s">
        <v>253</v>
      </c>
      <c r="N739" s="52" t="str">
        <f>IF(AND('331-CT'!$E$7=TH!H739,OR(L739="331",M739="331")),"331",IF(AND(OR(L739="131",M739="131"),H739='131-CT'!$E$7),"131",""))</f>
        <v/>
      </c>
      <c r="O739" s="89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15"/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51"/>
        <v>4</v>
      </c>
      <c r="C740" s="184">
        <f t="shared" si="50"/>
        <v>41731</v>
      </c>
      <c r="D740" s="184" t="s">
        <v>901</v>
      </c>
      <c r="E740" s="191">
        <v>41731</v>
      </c>
      <c r="F740" s="192" t="s">
        <v>902</v>
      </c>
      <c r="G740" s="468" t="s">
        <v>326</v>
      </c>
      <c r="H740" s="193"/>
      <c r="I740" s="256"/>
      <c r="J740" s="256"/>
      <c r="K740" s="568">
        <v>15000</v>
      </c>
      <c r="L740" s="194" t="s">
        <v>83</v>
      </c>
      <c r="M740" s="194" t="s">
        <v>24</v>
      </c>
      <c r="N740" s="52" t="str">
        <f>IF(AND('331-CT'!$E$7=TH!H740,OR(L740="331",M740="331")),"331",IF(AND(OR(L740="131",M740="131"),H740='131-CT'!$E$7),"131",""))</f>
        <v/>
      </c>
      <c r="O740" s="89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>642</v>
      </c>
      <c r="W740" s="52" t="str">
        <f>IF(OR(TH!L740=TH!$W$7,M740=TH!$W$7),"x","")</f>
        <v>x</v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1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51"/>
        <v>4</v>
      </c>
      <c r="C741" s="184">
        <f t="shared" ref="C741:C747" si="52">E741</f>
        <v>41743</v>
      </c>
      <c r="D741" s="184" t="s">
        <v>901</v>
      </c>
      <c r="E741" s="191">
        <v>41743</v>
      </c>
      <c r="F741" s="192" t="s">
        <v>898</v>
      </c>
      <c r="G741" s="468" t="s">
        <v>326</v>
      </c>
      <c r="H741" s="193" t="s">
        <v>899</v>
      </c>
      <c r="I741" s="256"/>
      <c r="J741" s="256"/>
      <c r="K741" s="568">
        <v>42000000</v>
      </c>
      <c r="L741" s="194" t="s">
        <v>47</v>
      </c>
      <c r="M741" s="194" t="s">
        <v>24</v>
      </c>
      <c r="N741" s="52" t="str">
        <f>IF(AND('331-CT'!$E$7=TH!H741,OR(L741="331",M741="331")),"331",IF(AND(OR(L741="131",M741="131"),H741='131-CT'!$E$7),"131",""))</f>
        <v/>
      </c>
      <c r="O741" s="89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>x</v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15"/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51"/>
        <v>4</v>
      </c>
      <c r="C742" s="184">
        <f t="shared" si="52"/>
        <v>41751</v>
      </c>
      <c r="D742" s="184" t="s">
        <v>901</v>
      </c>
      <c r="E742" s="191">
        <v>41751</v>
      </c>
      <c r="F742" s="192" t="s">
        <v>898</v>
      </c>
      <c r="G742" s="468" t="s">
        <v>326</v>
      </c>
      <c r="H742" s="193" t="s">
        <v>899</v>
      </c>
      <c r="I742" s="256"/>
      <c r="J742" s="256"/>
      <c r="K742" s="568">
        <v>24000000</v>
      </c>
      <c r="L742" s="194" t="s">
        <v>47</v>
      </c>
      <c r="M742" s="194" t="s">
        <v>24</v>
      </c>
      <c r="N742" s="52" t="str">
        <f>IF(AND('331-CT'!$E$7=TH!H742,OR(L742="331",M742="331")),"331",IF(AND(OR(L742="131",M742="131"),H742='131-CT'!$E$7),"131",""))</f>
        <v/>
      </c>
      <c r="O742" s="89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>x</v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1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84">
        <f t="shared" si="52"/>
        <v>41767</v>
      </c>
      <c r="D743" s="184" t="s">
        <v>894</v>
      </c>
      <c r="E743" s="191">
        <v>41767</v>
      </c>
      <c r="F743" s="192" t="s">
        <v>896</v>
      </c>
      <c r="G743" s="468" t="s">
        <v>326</v>
      </c>
      <c r="H743" s="7" t="s">
        <v>908</v>
      </c>
      <c r="I743" s="256"/>
      <c r="J743" s="256"/>
      <c r="K743" s="568">
        <v>11165000</v>
      </c>
      <c r="L743" s="194" t="s">
        <v>24</v>
      </c>
      <c r="M743" s="194" t="s">
        <v>253</v>
      </c>
      <c r="N743" s="52" t="str">
        <f>IF(AND('331-CT'!$E$7=TH!H743,OR(L743="331",M743="331")),"331",IF(AND(OR(L743="131",M743="131"),H743='131-CT'!$E$7),"131",""))</f>
        <v/>
      </c>
      <c r="O743" s="89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1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84">
        <f t="shared" si="52"/>
        <v>41771</v>
      </c>
      <c r="D744" s="184" t="s">
        <v>894</v>
      </c>
      <c r="E744" s="191">
        <v>41771</v>
      </c>
      <c r="F744" s="192" t="s">
        <v>896</v>
      </c>
      <c r="G744" s="468" t="s">
        <v>326</v>
      </c>
      <c r="H744" s="7" t="s">
        <v>910</v>
      </c>
      <c r="I744" s="258"/>
      <c r="J744" s="258"/>
      <c r="K744" s="568">
        <v>13571800</v>
      </c>
      <c r="L744" s="194" t="s">
        <v>24</v>
      </c>
      <c r="M744" s="194" t="s">
        <v>253</v>
      </c>
      <c r="N744" s="52" t="str">
        <f>IF(AND('331-CT'!$E$7=TH!H744,OR(L744="331",M744="331")),"331",IF(AND(OR(L744="131",M744="131"),H744='131-CT'!$E$7),"131",""))</f>
        <v/>
      </c>
      <c r="O744" s="89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15"/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f t="shared" si="52"/>
        <v>41774</v>
      </c>
      <c r="D745" s="184" t="s">
        <v>894</v>
      </c>
      <c r="E745" s="191">
        <v>41774</v>
      </c>
      <c r="F745" s="192" t="s">
        <v>896</v>
      </c>
      <c r="G745" s="468" t="s">
        <v>326</v>
      </c>
      <c r="H745" s="7" t="s">
        <v>909</v>
      </c>
      <c r="I745" s="256"/>
      <c r="J745" s="256"/>
      <c r="K745" s="38">
        <v>14845160</v>
      </c>
      <c r="L745" s="194" t="s">
        <v>24</v>
      </c>
      <c r="M745" s="194" t="s">
        <v>253</v>
      </c>
      <c r="N745" s="52" t="str">
        <f>IF(AND('331-CT'!$E$7=TH!H745,OR(L745="331",M745="331")),"331",IF(AND(OR(L745="131",M745="131"),H745='131-CT'!$E$7),"131",""))</f>
        <v/>
      </c>
      <c r="O745" s="89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1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84">
        <f t="shared" si="52"/>
        <v>41783</v>
      </c>
      <c r="D746" s="184" t="s">
        <v>894</v>
      </c>
      <c r="E746" s="191">
        <v>41783</v>
      </c>
      <c r="F746" s="192" t="s">
        <v>897</v>
      </c>
      <c r="G746" s="468" t="s">
        <v>326</v>
      </c>
      <c r="H746" s="193"/>
      <c r="I746" s="258"/>
      <c r="J746" s="258"/>
      <c r="K746" s="568">
        <v>8720</v>
      </c>
      <c r="L746" s="194" t="s">
        <v>24</v>
      </c>
      <c r="M746" s="194" t="s">
        <v>40</v>
      </c>
      <c r="N746" s="52" t="str">
        <f>IF(AND('331-CT'!$E$7=TH!H746,OR(L746="331",M746="331")),"331",IF(AND(OR(L746="131",M746="131"),H746='131-CT'!$E$7),"131",""))</f>
        <v/>
      </c>
      <c r="O746" s="89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1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84">
        <f t="shared" si="52"/>
        <v>41785</v>
      </c>
      <c r="D747" s="184" t="s">
        <v>894</v>
      </c>
      <c r="E747" s="191">
        <v>41785</v>
      </c>
      <c r="F747" s="192" t="s">
        <v>896</v>
      </c>
      <c r="G747" s="468" t="s">
        <v>326</v>
      </c>
      <c r="H747" s="7" t="s">
        <v>909</v>
      </c>
      <c r="I747" s="256"/>
      <c r="J747" s="256"/>
      <c r="K747" s="568">
        <v>16593170</v>
      </c>
      <c r="L747" s="194" t="s">
        <v>24</v>
      </c>
      <c r="M747" s="194" t="s">
        <v>253</v>
      </c>
      <c r="N747" s="52" t="str">
        <f>IF(AND('331-CT'!$E$7=TH!H747,OR(L747="331",M747="331")),"331",IF(AND(OR(L747="131",M747="131"),H747='131-CT'!$E$7),"131",""))</f>
        <v/>
      </c>
      <c r="O747" s="89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15"/>
      <c r="AE747" s="560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51"/>
        <v>6</v>
      </c>
      <c r="C748" s="184">
        <f t="shared" ref="C748:C752" si="53">E748</f>
        <v>41801</v>
      </c>
      <c r="D748" s="184" t="s">
        <v>894</v>
      </c>
      <c r="E748" s="191">
        <v>41801</v>
      </c>
      <c r="F748" s="192" t="s">
        <v>896</v>
      </c>
      <c r="G748" s="468" t="s">
        <v>326</v>
      </c>
      <c r="H748" s="7" t="s">
        <v>908</v>
      </c>
      <c r="I748" s="256"/>
      <c r="J748" s="256"/>
      <c r="K748" s="568">
        <v>22330000</v>
      </c>
      <c r="L748" s="194" t="s">
        <v>24</v>
      </c>
      <c r="M748" s="194" t="s">
        <v>253</v>
      </c>
      <c r="N748" s="52" t="str">
        <f>IF(AND('331-CT'!$E$7=TH!H748,OR(L748="331",M748="331")),"331",IF(AND(OR(L748="131",M748="131"),H748='131-CT'!$E$7),"131",""))</f>
        <v/>
      </c>
      <c r="O748" s="89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15"/>
      <c r="AE748" s="560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51"/>
        <v>6</v>
      </c>
      <c r="C749" s="184">
        <f t="shared" si="53"/>
        <v>41806</v>
      </c>
      <c r="D749" s="184" t="s">
        <v>894</v>
      </c>
      <c r="E749" s="191">
        <v>41806</v>
      </c>
      <c r="F749" s="192" t="s">
        <v>896</v>
      </c>
      <c r="G749" s="468" t="s">
        <v>326</v>
      </c>
      <c r="H749" s="7" t="s">
        <v>910</v>
      </c>
      <c r="I749" s="256"/>
      <c r="J749" s="256"/>
      <c r="K749" s="568">
        <v>13006400</v>
      </c>
      <c r="L749" s="194" t="s">
        <v>24</v>
      </c>
      <c r="M749" s="194" t="s">
        <v>253</v>
      </c>
      <c r="N749" s="52" t="str">
        <f>IF(AND('331-CT'!$E$7=TH!H749,OR(L749="331",M749="331")),"331",IF(AND(OR(L749="131",M749="131"),H749='131-CT'!$E$7),"131",""))</f>
        <v/>
      </c>
      <c r="O749" s="89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15"/>
      <c r="AE749" s="560"/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51"/>
        <v>6</v>
      </c>
      <c r="C750" s="184">
        <f t="shared" si="53"/>
        <v>41810</v>
      </c>
      <c r="D750" s="184" t="s">
        <v>894</v>
      </c>
      <c r="E750" s="191">
        <v>41810</v>
      </c>
      <c r="F750" s="192" t="s">
        <v>903</v>
      </c>
      <c r="G750" s="468" t="s">
        <v>326</v>
      </c>
      <c r="H750" s="193" t="s">
        <v>899</v>
      </c>
      <c r="I750" s="256"/>
      <c r="J750" s="256"/>
      <c r="K750" s="38">
        <v>9000</v>
      </c>
      <c r="L750" s="194" t="s">
        <v>24</v>
      </c>
      <c r="M750" s="194" t="s">
        <v>47</v>
      </c>
      <c r="N750" s="52" t="str">
        <f>IF(AND('331-CT'!$E$7=TH!H750,OR(L750="331",M750="331")),"331",IF(AND(OR(L750="131",M750="131"),H750='131-CT'!$E$7),"131",""))</f>
        <v/>
      </c>
      <c r="O750" s="89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>x</v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15"/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51"/>
        <v>6</v>
      </c>
      <c r="C751" s="184">
        <f t="shared" si="53"/>
        <v>41810</v>
      </c>
      <c r="D751" s="184" t="s">
        <v>894</v>
      </c>
      <c r="E751" s="749">
        <v>41810</v>
      </c>
      <c r="F751" s="192" t="s">
        <v>896</v>
      </c>
      <c r="G751" s="468" t="s">
        <v>326</v>
      </c>
      <c r="H751" s="7" t="s">
        <v>909</v>
      </c>
      <c r="I751" s="259"/>
      <c r="J751" s="259"/>
      <c r="K751" s="568">
        <v>18826500</v>
      </c>
      <c r="L751" s="194" t="s">
        <v>24</v>
      </c>
      <c r="M751" s="194" t="s">
        <v>253</v>
      </c>
      <c r="N751" s="52" t="str">
        <f>IF(AND('331-CT'!$E$7=TH!H751,OR(L751="331",M751="331")),"331",IF(AND(OR(L751="131",M751="131"),H751='131-CT'!$E$7),"131",""))</f>
        <v/>
      </c>
      <c r="O751" s="89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15"/>
      <c r="AE751" s="560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51"/>
        <v>6</v>
      </c>
      <c r="C752" s="184">
        <f t="shared" si="53"/>
        <v>41813</v>
      </c>
      <c r="D752" s="184" t="s">
        <v>894</v>
      </c>
      <c r="E752" s="749">
        <v>41813</v>
      </c>
      <c r="F752" s="192" t="s">
        <v>904</v>
      </c>
      <c r="G752" s="468" t="s">
        <v>326</v>
      </c>
      <c r="H752" s="7"/>
      <c r="I752" s="256"/>
      <c r="J752" s="256"/>
      <c r="K752" s="568">
        <v>10000000</v>
      </c>
      <c r="L752" s="194" t="s">
        <v>24</v>
      </c>
      <c r="M752" s="194" t="s">
        <v>56</v>
      </c>
      <c r="N752" s="52" t="str">
        <f>IF(AND('331-CT'!$E$7=TH!H752,OR(L752="331",M752="331")),"331",IF(AND(OR(L752="131",M752="131"),H752='131-CT'!$E$7),"131",""))</f>
        <v/>
      </c>
      <c r="O752" s="89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15"/>
      <c r="AE752" s="560"/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51"/>
        <v>6</v>
      </c>
      <c r="C753" s="184">
        <f t="shared" ref="C753:C768" si="54">E753</f>
        <v>41814</v>
      </c>
      <c r="D753" s="184" t="s">
        <v>894</v>
      </c>
      <c r="E753" s="749">
        <v>41814</v>
      </c>
      <c r="F753" s="192" t="s">
        <v>896</v>
      </c>
      <c r="G753" s="468" t="s">
        <v>326</v>
      </c>
      <c r="H753" s="45" t="s">
        <v>470</v>
      </c>
      <c r="I753" s="256"/>
      <c r="J753" s="256"/>
      <c r="K753" s="38">
        <v>7656000</v>
      </c>
      <c r="L753" s="194" t="s">
        <v>24</v>
      </c>
      <c r="M753" s="194" t="s">
        <v>253</v>
      </c>
      <c r="N753" s="52" t="str">
        <f>IF(AND('331-CT'!$E$7=TH!H753,OR(L753="331",M753="331")),"331",IF(AND(OR(L753="131",M753="131"),H753='131-CT'!$E$7),"131",""))</f>
        <v/>
      </c>
      <c r="O753" s="89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15"/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51"/>
        <v>6</v>
      </c>
      <c r="C754" s="184">
        <f t="shared" si="54"/>
        <v>41814</v>
      </c>
      <c r="D754" s="184" t="s">
        <v>894</v>
      </c>
      <c r="E754" s="749">
        <v>41814</v>
      </c>
      <c r="F754" s="192" t="s">
        <v>903</v>
      </c>
      <c r="G754" s="468" t="s">
        <v>326</v>
      </c>
      <c r="H754" s="193" t="s">
        <v>899</v>
      </c>
      <c r="I754" s="256"/>
      <c r="J754" s="256"/>
      <c r="K754" s="568">
        <v>10000000</v>
      </c>
      <c r="L754" s="194" t="s">
        <v>24</v>
      </c>
      <c r="M754" s="194" t="s">
        <v>47</v>
      </c>
      <c r="N754" s="52" t="str">
        <f>IF(AND('331-CT'!$E$7=TH!H754,OR(L754="331",M754="331")),"331",IF(AND(OR(L754="131",M754="131"),H754='131-CT'!$E$7),"131",""))</f>
        <v/>
      </c>
      <c r="O754" s="89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>x</v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15"/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51"/>
        <v>6</v>
      </c>
      <c r="C755" s="184">
        <f t="shared" si="54"/>
        <v>41815</v>
      </c>
      <c r="D755" s="184" t="s">
        <v>894</v>
      </c>
      <c r="E755" s="749">
        <v>41815</v>
      </c>
      <c r="F755" s="192" t="s">
        <v>897</v>
      </c>
      <c r="G755" s="468" t="s">
        <v>326</v>
      </c>
      <c r="H755" s="7"/>
      <c r="I755" s="256"/>
      <c r="J755" s="256"/>
      <c r="K755" s="568">
        <v>10834</v>
      </c>
      <c r="L755" s="194" t="s">
        <v>24</v>
      </c>
      <c r="M755" s="194" t="s">
        <v>40</v>
      </c>
      <c r="N755" s="52" t="str">
        <f>IF(AND('331-CT'!$E$7=TH!H755,OR(L755="331",M755="331")),"331",IF(AND(OR(L755="131",M755="131"),H755='131-CT'!$E$7),"131",""))</f>
        <v/>
      </c>
      <c r="O755" s="89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15"/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51"/>
        <v>6</v>
      </c>
      <c r="C756" s="184">
        <f t="shared" si="54"/>
        <v>41820</v>
      </c>
      <c r="D756" s="184" t="s">
        <v>894</v>
      </c>
      <c r="E756" s="749">
        <v>41820</v>
      </c>
      <c r="F756" s="192" t="s">
        <v>896</v>
      </c>
      <c r="G756" s="468" t="s">
        <v>326</v>
      </c>
      <c r="H756" s="7" t="s">
        <v>910</v>
      </c>
      <c r="I756" s="256"/>
      <c r="J756" s="256"/>
      <c r="K756" s="568">
        <v>6664075</v>
      </c>
      <c r="L756" s="194" t="s">
        <v>24</v>
      </c>
      <c r="M756" s="194" t="s">
        <v>253</v>
      </c>
      <c r="N756" s="52" t="str">
        <f>IF(AND('331-CT'!$E$7=TH!H756,OR(L756="331",M756="331")),"331",IF(AND(OR(L756="131",M756="131"),H756='131-CT'!$E$7),"131",""))</f>
        <v/>
      </c>
      <c r="O756" s="89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15"/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84">
        <f t="shared" si="54"/>
        <v>41764</v>
      </c>
      <c r="D757" s="184" t="s">
        <v>901</v>
      </c>
      <c r="E757" s="749">
        <v>41764</v>
      </c>
      <c r="F757" s="192" t="s">
        <v>898</v>
      </c>
      <c r="G757" s="468" t="s">
        <v>326</v>
      </c>
      <c r="H757" s="193" t="s">
        <v>899</v>
      </c>
      <c r="I757" s="256"/>
      <c r="J757" s="256"/>
      <c r="K757" s="568">
        <v>17000000</v>
      </c>
      <c r="L757" s="194" t="s">
        <v>47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89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>x</v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15"/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84">
        <f t="shared" si="54"/>
        <v>41773</v>
      </c>
      <c r="D758" s="184" t="s">
        <v>901</v>
      </c>
      <c r="E758" s="749">
        <v>41773</v>
      </c>
      <c r="F758" s="192" t="s">
        <v>898</v>
      </c>
      <c r="G758" s="468" t="s">
        <v>326</v>
      </c>
      <c r="H758" s="193" t="s">
        <v>899</v>
      </c>
      <c r="I758" s="256"/>
      <c r="J758" s="256"/>
      <c r="K758" s="568">
        <v>25000000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89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>x</v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15"/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84">
        <f t="shared" si="54"/>
        <v>41779</v>
      </c>
      <c r="D759" s="184" t="s">
        <v>901</v>
      </c>
      <c r="E759" s="749">
        <v>41779</v>
      </c>
      <c r="F759" s="192" t="s">
        <v>898</v>
      </c>
      <c r="G759" s="468" t="s">
        <v>326</v>
      </c>
      <c r="H759" s="193" t="s">
        <v>899</v>
      </c>
      <c r="I759" s="256"/>
      <c r="J759" s="256"/>
      <c r="K759" s="568">
        <v>14800000</v>
      </c>
      <c r="L759" s="194" t="s">
        <v>47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89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>x</v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15"/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84">
        <f t="shared" si="54"/>
        <v>41788</v>
      </c>
      <c r="D760" s="184" t="s">
        <v>901</v>
      </c>
      <c r="E760" s="749">
        <v>41788</v>
      </c>
      <c r="F760" s="192" t="s">
        <v>898</v>
      </c>
      <c r="G760" s="468" t="s">
        <v>326</v>
      </c>
      <c r="H760" s="193" t="s">
        <v>899</v>
      </c>
      <c r="I760" s="256"/>
      <c r="J760" s="256"/>
      <c r="K760" s="568">
        <v>16500000</v>
      </c>
      <c r="L760" s="194" t="s">
        <v>47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89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>x</v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15"/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51"/>
        <v>6</v>
      </c>
      <c r="C761" s="184">
        <f t="shared" si="54"/>
        <v>41810</v>
      </c>
      <c r="D761" s="184" t="s">
        <v>901</v>
      </c>
      <c r="E761" s="749">
        <v>41810</v>
      </c>
      <c r="F761" s="192" t="s">
        <v>898</v>
      </c>
      <c r="G761" s="468" t="s">
        <v>326</v>
      </c>
      <c r="H761" s="193" t="s">
        <v>899</v>
      </c>
      <c r="I761" s="256"/>
      <c r="J761" s="256"/>
      <c r="K761" s="568">
        <v>5500000</v>
      </c>
      <c r="L761" s="194" t="s">
        <v>47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89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>x</v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15"/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51"/>
        <v>6</v>
      </c>
      <c r="C762" s="184">
        <f t="shared" si="54"/>
        <v>41810</v>
      </c>
      <c r="D762" s="184" t="s">
        <v>901</v>
      </c>
      <c r="E762" s="749">
        <v>41810</v>
      </c>
      <c r="F762" s="189" t="s">
        <v>905</v>
      </c>
      <c r="G762" s="468" t="s">
        <v>326</v>
      </c>
      <c r="H762" s="7"/>
      <c r="I762" s="256"/>
      <c r="J762" s="256"/>
      <c r="K762" s="568">
        <v>10000000</v>
      </c>
      <c r="L762" s="194" t="s">
        <v>56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89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15"/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51"/>
        <v>6</v>
      </c>
      <c r="C763" s="184">
        <f t="shared" si="54"/>
        <v>41810</v>
      </c>
      <c r="D763" s="184" t="s">
        <v>901</v>
      </c>
      <c r="E763" s="749">
        <v>41810</v>
      </c>
      <c r="F763" s="189" t="s">
        <v>905</v>
      </c>
      <c r="G763" s="468" t="s">
        <v>326</v>
      </c>
      <c r="H763" s="7"/>
      <c r="I763" s="256"/>
      <c r="J763" s="256"/>
      <c r="K763" s="568">
        <v>20000000</v>
      </c>
      <c r="L763" s="194" t="s">
        <v>56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89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15"/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51"/>
        <v>6</v>
      </c>
      <c r="C764" s="184">
        <f t="shared" si="54"/>
        <v>41810</v>
      </c>
      <c r="D764" s="184" t="s">
        <v>901</v>
      </c>
      <c r="E764" s="749">
        <v>41810</v>
      </c>
      <c r="F764" s="189" t="s">
        <v>902</v>
      </c>
      <c r="G764" s="468" t="s">
        <v>326</v>
      </c>
      <c r="H764" s="7"/>
      <c r="I764" s="256"/>
      <c r="J764" s="256"/>
      <c r="K764" s="568">
        <v>15000</v>
      </c>
      <c r="L764" s="194" t="s">
        <v>83</v>
      </c>
      <c r="M764" s="194" t="s">
        <v>24</v>
      </c>
      <c r="N764" s="52" t="str">
        <f>IF(AND('331-CT'!$E$7=TH!H764,OR(L764="331",M764="331")),"331",IF(AND(OR(L764="131",M764="131"),H764='131-CT'!$E$7),"131",""))</f>
        <v/>
      </c>
      <c r="O764" s="89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>642</v>
      </c>
      <c r="W764" s="52" t="str">
        <f>IF(OR(TH!L764=TH!$W$7,M764=TH!$W$7),"x","")</f>
        <v>x</v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15"/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51"/>
        <v>6</v>
      </c>
      <c r="C765" s="184">
        <f t="shared" si="54"/>
        <v>41810</v>
      </c>
      <c r="D765" s="184" t="s">
        <v>901</v>
      </c>
      <c r="E765" s="749">
        <v>41810</v>
      </c>
      <c r="F765" s="189" t="s">
        <v>902</v>
      </c>
      <c r="G765" s="468" t="s">
        <v>326</v>
      </c>
      <c r="H765" s="7"/>
      <c r="I765" s="256"/>
      <c r="J765" s="256"/>
      <c r="K765" s="568">
        <v>15000</v>
      </c>
      <c r="L765" s="194" t="s">
        <v>83</v>
      </c>
      <c r="M765" s="194" t="s">
        <v>24</v>
      </c>
      <c r="N765" s="52" t="str">
        <f>IF(AND('331-CT'!$E$7=TH!H765,OR(L765="331",M765="331")),"331",IF(AND(OR(L765="131",M765="131"),H765='131-CT'!$E$7),"131",""))</f>
        <v/>
      </c>
      <c r="O765" s="89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>642</v>
      </c>
      <c r="W765" s="52" t="str">
        <f>IF(OR(TH!L765=TH!$W$7,M765=TH!$W$7),"x","")</f>
        <v>x</v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15"/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51"/>
        <v>6</v>
      </c>
      <c r="C766" s="184">
        <f t="shared" si="54"/>
        <v>41814</v>
      </c>
      <c r="D766" s="184" t="s">
        <v>901</v>
      </c>
      <c r="E766" s="749">
        <v>41814</v>
      </c>
      <c r="F766" s="192" t="s">
        <v>898</v>
      </c>
      <c r="G766" s="468" t="s">
        <v>326</v>
      </c>
      <c r="H766" s="193" t="s">
        <v>899</v>
      </c>
      <c r="I766" s="256"/>
      <c r="J766" s="256"/>
      <c r="K766" s="568">
        <v>36300000</v>
      </c>
      <c r="L766" s="194" t="s">
        <v>47</v>
      </c>
      <c r="M766" s="194" t="s">
        <v>24</v>
      </c>
      <c r="N766" s="52" t="str">
        <f>IF(AND('331-CT'!$E$7=TH!H766,OR(L766="331",M766="331")),"331",IF(AND(OR(L766="131",M766="131"),H766='131-CT'!$E$7),"131",""))</f>
        <v/>
      </c>
      <c r="O766" s="89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>x</v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15"/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51"/>
        <v>6</v>
      </c>
      <c r="C767" s="184">
        <f t="shared" si="54"/>
        <v>41814</v>
      </c>
      <c r="D767" s="184" t="s">
        <v>901</v>
      </c>
      <c r="E767" s="749">
        <v>41814</v>
      </c>
      <c r="F767" s="192" t="s">
        <v>895</v>
      </c>
      <c r="G767" s="468" t="s">
        <v>326</v>
      </c>
      <c r="H767" s="7" t="s">
        <v>1149</v>
      </c>
      <c r="I767" s="256"/>
      <c r="J767" s="256"/>
      <c r="K767" s="568">
        <v>10000000</v>
      </c>
      <c r="L767" s="194" t="s">
        <v>8</v>
      </c>
      <c r="M767" s="194" t="s">
        <v>24</v>
      </c>
      <c r="N767" s="52" t="str">
        <f>IF(AND('331-CT'!$E$7=TH!H767,OR(L767="331",M767="331")),"331",IF(AND(OR(L767="131",M767="131"),H767='131-CT'!$E$7),"131",""))</f>
        <v/>
      </c>
      <c r="O767" s="89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15"/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51"/>
        <v>6</v>
      </c>
      <c r="C768" s="184">
        <f t="shared" si="54"/>
        <v>41814</v>
      </c>
      <c r="D768" s="184" t="s">
        <v>901</v>
      </c>
      <c r="E768" s="749">
        <v>41814</v>
      </c>
      <c r="F768" s="189" t="s">
        <v>902</v>
      </c>
      <c r="G768" s="468" t="s">
        <v>326</v>
      </c>
      <c r="H768" s="7"/>
      <c r="I768" s="256"/>
      <c r="J768" s="256"/>
      <c r="K768" s="568">
        <v>15000</v>
      </c>
      <c r="L768" s="194" t="s">
        <v>83</v>
      </c>
      <c r="M768" s="194" t="s">
        <v>24</v>
      </c>
      <c r="N768" s="52" t="str">
        <f>IF(AND('331-CT'!$E$7=TH!H768,OR(L768="331",M768="331")),"331",IF(AND(OR(L768="131",M768="131"),H768='131-CT'!$E$7),"131",""))</f>
        <v/>
      </c>
      <c r="O768" s="89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>642</v>
      </c>
      <c r="W768" s="52" t="str">
        <f>IF(OR(TH!L768=TH!$W$7,M768=TH!$W$7),"x","")</f>
        <v>x</v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15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51"/>
        <v>6</v>
      </c>
      <c r="C769" s="184">
        <f t="shared" ref="C769:C772" si="55">E769</f>
        <v>41814</v>
      </c>
      <c r="D769" s="184" t="s">
        <v>901</v>
      </c>
      <c r="E769" s="749">
        <v>41814</v>
      </c>
      <c r="F769" s="189" t="s">
        <v>902</v>
      </c>
      <c r="G769" s="468" t="s">
        <v>326</v>
      </c>
      <c r="H769" s="7"/>
      <c r="I769" s="256"/>
      <c r="J769" s="256"/>
      <c r="K769" s="568">
        <v>15000</v>
      </c>
      <c r="L769" s="194" t="s">
        <v>83</v>
      </c>
      <c r="M769" s="194" t="s">
        <v>24</v>
      </c>
      <c r="N769" s="52" t="str">
        <f>IF(AND('331-CT'!$E$7=TH!H769,OR(L769="331",M769="331")),"331",IF(AND(OR(L769="131",M769="131"),H769='131-CT'!$E$7),"131",""))</f>
        <v/>
      </c>
      <c r="O769" s="89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>642</v>
      </c>
      <c r="W769" s="52" t="str">
        <f>IF(OR(TH!L769=TH!$W$7,M769=TH!$W$7),"x","")</f>
        <v>x</v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15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51"/>
        <v>6</v>
      </c>
      <c r="C770" s="184">
        <f t="shared" si="55"/>
        <v>41814</v>
      </c>
      <c r="D770" s="184" t="s">
        <v>901</v>
      </c>
      <c r="E770" s="749">
        <v>41814</v>
      </c>
      <c r="F770" s="189" t="s">
        <v>906</v>
      </c>
      <c r="G770" s="468" t="s">
        <v>326</v>
      </c>
      <c r="H770" s="7"/>
      <c r="I770" s="256"/>
      <c r="J770" s="256"/>
      <c r="K770" s="568">
        <v>15000</v>
      </c>
      <c r="L770" s="194" t="s">
        <v>83</v>
      </c>
      <c r="M770" s="194" t="s">
        <v>24</v>
      </c>
      <c r="N770" s="52" t="str">
        <f>IF(AND('331-CT'!$E$7=TH!H770,OR(L770="331",M770="331")),"331",IF(AND(OR(L770="131",M770="131"),H770='131-CT'!$E$7),"131",""))</f>
        <v/>
      </c>
      <c r="O770" s="89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>642</v>
      </c>
      <c r="W770" s="52" t="str">
        <f>IF(OR(TH!L770=TH!$W$7,M770=TH!$W$7),"x","")</f>
        <v>x</v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15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51"/>
        <v>7</v>
      </c>
      <c r="C771" s="184">
        <f t="shared" si="55"/>
        <v>41829</v>
      </c>
      <c r="D771" s="184" t="s">
        <v>894</v>
      </c>
      <c r="E771" s="184">
        <v>41829</v>
      </c>
      <c r="F771" s="192" t="s">
        <v>903</v>
      </c>
      <c r="G771" s="468" t="s">
        <v>326</v>
      </c>
      <c r="H771" s="193" t="s">
        <v>899</v>
      </c>
      <c r="I771" s="256"/>
      <c r="J771" s="256"/>
      <c r="K771" s="568">
        <v>3300000</v>
      </c>
      <c r="L771" s="194" t="s">
        <v>24</v>
      </c>
      <c r="M771" s="194" t="s">
        <v>47</v>
      </c>
      <c r="N771" s="52" t="str">
        <f>IF(AND('331-CT'!$E$7=TH!H771,OR(L771="331",M771="331")),"331",IF(AND(OR(L771="131",M771="131"),H771='131-CT'!$E$7),"131",""))</f>
        <v/>
      </c>
      <c r="O771" s="896" t="str">
        <f>IF(AND('341-CT'!$E$9=H771,OR(LEFT(L771,3)=$O$7,LEFT(M771,3)=$O$7)),"x","")</f>
        <v/>
      </c>
      <c r="P771" s="52" t="str">
        <f>IF(AND($B771&gt;='111'!$N$11,$B771&lt;='111'!$O$11,OR($L771=$P$7,$M771=$P$7)),"x","")</f>
        <v>x</v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15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51"/>
        <v>7</v>
      </c>
      <c r="C772" s="184">
        <f t="shared" si="55"/>
        <v>41836</v>
      </c>
      <c r="D772" s="184" t="s">
        <v>894</v>
      </c>
      <c r="E772" s="184">
        <v>41836</v>
      </c>
      <c r="F772" s="192" t="s">
        <v>896</v>
      </c>
      <c r="G772" s="468" t="s">
        <v>326</v>
      </c>
      <c r="H772" s="7" t="s">
        <v>909</v>
      </c>
      <c r="I772" s="256"/>
      <c r="J772" s="256"/>
      <c r="K772" s="568">
        <v>16698220</v>
      </c>
      <c r="L772" s="194" t="s">
        <v>24</v>
      </c>
      <c r="M772" s="194" t="s">
        <v>253</v>
      </c>
      <c r="N772" s="52" t="str">
        <f>IF(AND('331-CT'!$E$7=TH!H772,OR(L772="331",M772="331")),"331",IF(AND(OR(L772="131",M772="131"),H772='131-CT'!$E$7),"131",""))</f>
        <v/>
      </c>
      <c r="O772" s="89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15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51"/>
        <v>7</v>
      </c>
      <c r="C773" s="184">
        <f t="shared" ref="C773:C796" si="56">E773</f>
        <v>41845</v>
      </c>
      <c r="D773" s="184" t="s">
        <v>894</v>
      </c>
      <c r="E773" s="184">
        <v>41845</v>
      </c>
      <c r="F773" s="192" t="s">
        <v>897</v>
      </c>
      <c r="G773" s="468" t="s">
        <v>326</v>
      </c>
      <c r="H773" s="7"/>
      <c r="I773" s="256"/>
      <c r="J773" s="256"/>
      <c r="K773" s="568">
        <v>4033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89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15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51"/>
        <v>7</v>
      </c>
      <c r="C774" s="184">
        <f t="shared" si="56"/>
        <v>41849</v>
      </c>
      <c r="D774" s="184" t="s">
        <v>894</v>
      </c>
      <c r="E774" s="184">
        <v>41849</v>
      </c>
      <c r="F774" s="192" t="s">
        <v>896</v>
      </c>
      <c r="G774" s="468" t="s">
        <v>326</v>
      </c>
      <c r="H774" s="7" t="s">
        <v>908</v>
      </c>
      <c r="I774" s="256"/>
      <c r="J774" s="256"/>
      <c r="K774" s="568">
        <v>11455290</v>
      </c>
      <c r="L774" s="194" t="s">
        <v>24</v>
      </c>
      <c r="M774" s="194" t="s">
        <v>253</v>
      </c>
      <c r="N774" s="52" t="str">
        <f>IF(AND('331-CT'!$E$7=TH!H774,OR(L774="331",M774="331")),"331",IF(AND(OR(L774="131",M774="131"),H774='131-CT'!$E$7),"131",""))</f>
        <v/>
      </c>
      <c r="O774" s="89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15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51"/>
        <v>8</v>
      </c>
      <c r="C775" s="184">
        <f t="shared" si="56"/>
        <v>41856</v>
      </c>
      <c r="D775" s="184" t="s">
        <v>894</v>
      </c>
      <c r="E775" s="184">
        <v>41856</v>
      </c>
      <c r="F775" s="192" t="s">
        <v>896</v>
      </c>
      <c r="G775" s="468" t="s">
        <v>326</v>
      </c>
      <c r="H775" s="7" t="s">
        <v>655</v>
      </c>
      <c r="I775" s="256"/>
      <c r="J775" s="256"/>
      <c r="K775" s="568">
        <v>17000000</v>
      </c>
      <c r="L775" s="194" t="s">
        <v>24</v>
      </c>
      <c r="M775" s="194" t="s">
        <v>253</v>
      </c>
      <c r="N775" s="52" t="str">
        <f>IF(AND('331-CT'!$E$7=TH!H775,OR(L775="331",M775="331")),"331",IF(AND(OR(L775="131",M775="131"),H775='131-CT'!$E$7),"131",""))</f>
        <v/>
      </c>
      <c r="O775" s="89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15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51"/>
        <v>8</v>
      </c>
      <c r="C776" s="184">
        <f t="shared" si="56"/>
        <v>41865</v>
      </c>
      <c r="D776" s="184" t="s">
        <v>894</v>
      </c>
      <c r="E776" s="184">
        <v>41865</v>
      </c>
      <c r="F776" s="192" t="s">
        <v>896</v>
      </c>
      <c r="G776" s="468" t="s">
        <v>326</v>
      </c>
      <c r="H776" s="44" t="s">
        <v>583</v>
      </c>
      <c r="I776" s="256"/>
      <c r="J776" s="256"/>
      <c r="K776" s="568">
        <v>41052055</v>
      </c>
      <c r="L776" s="194" t="s">
        <v>24</v>
      </c>
      <c r="M776" s="194" t="s">
        <v>253</v>
      </c>
      <c r="N776" s="52" t="str">
        <f>IF(AND('331-CT'!$E$7=TH!H776,OR(L776="331",M776="331")),"331",IF(AND(OR(L776="131",M776="131"),H776='131-CT'!$E$7),"131",""))</f>
        <v/>
      </c>
      <c r="O776" s="89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15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51"/>
        <v>8</v>
      </c>
      <c r="C777" s="184">
        <f t="shared" si="56"/>
        <v>41869</v>
      </c>
      <c r="D777" s="184" t="s">
        <v>894</v>
      </c>
      <c r="E777" s="184">
        <v>41869</v>
      </c>
      <c r="F777" s="192" t="s">
        <v>896</v>
      </c>
      <c r="G777" s="468" t="s">
        <v>326</v>
      </c>
      <c r="H777" s="7" t="s">
        <v>908</v>
      </c>
      <c r="I777" s="256"/>
      <c r="J777" s="256"/>
      <c r="K777" s="568">
        <v>11165000</v>
      </c>
      <c r="L777" s="194" t="s">
        <v>24</v>
      </c>
      <c r="M777" s="194" t="s">
        <v>253</v>
      </c>
      <c r="N777" s="52" t="str">
        <f>IF(AND('331-CT'!$E$7=TH!H777,OR(L777="331",M777="331")),"331",IF(AND(OR(L777="131",M777="131"),H777='131-CT'!$E$7),"131",""))</f>
        <v/>
      </c>
      <c r="O777" s="89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15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51"/>
        <v>8</v>
      </c>
      <c r="C778" s="184">
        <f t="shared" si="56"/>
        <v>41871</v>
      </c>
      <c r="D778" s="184" t="s">
        <v>894</v>
      </c>
      <c r="E778" s="184">
        <v>41871</v>
      </c>
      <c r="F778" s="192" t="s">
        <v>903</v>
      </c>
      <c r="G778" s="468" t="s">
        <v>326</v>
      </c>
      <c r="H778" s="193" t="s">
        <v>899</v>
      </c>
      <c r="I778" s="256"/>
      <c r="J778" s="256"/>
      <c r="K778" s="568">
        <v>18000000</v>
      </c>
      <c r="L778" s="194" t="s">
        <v>24</v>
      </c>
      <c r="M778" s="194" t="s">
        <v>47</v>
      </c>
      <c r="N778" s="52" t="str">
        <f>IF(AND('331-CT'!$E$7=TH!H778,OR(L778="331",M778="331")),"331",IF(AND(OR(L778="131",M778="131"),H778='131-CT'!$E$7),"131",""))</f>
        <v/>
      </c>
      <c r="O778" s="896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15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51"/>
        <v>8</v>
      </c>
      <c r="C779" s="184">
        <f t="shared" si="56"/>
        <v>41871</v>
      </c>
      <c r="D779" s="184" t="s">
        <v>894</v>
      </c>
      <c r="E779" s="184">
        <v>41871</v>
      </c>
      <c r="F779" s="192" t="s">
        <v>896</v>
      </c>
      <c r="G779" s="468" t="s">
        <v>326</v>
      </c>
      <c r="H779" s="7" t="s">
        <v>603</v>
      </c>
      <c r="I779" s="256"/>
      <c r="J779" s="256"/>
      <c r="K779" s="568">
        <v>35000000</v>
      </c>
      <c r="L779" s="194" t="s">
        <v>24</v>
      </c>
      <c r="M779" s="194" t="s">
        <v>253</v>
      </c>
      <c r="N779" s="52" t="str">
        <f>IF(AND('331-CT'!$E$7=TH!H779,OR(L779="331",M779="331")),"331",IF(AND(OR(L779="131",M779="131"),H779='131-CT'!$E$7),"131",""))</f>
        <v/>
      </c>
      <c r="O779" s="89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15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51"/>
        <v>8</v>
      </c>
      <c r="C780" s="184">
        <f t="shared" si="56"/>
        <v>41873</v>
      </c>
      <c r="D780" s="184" t="s">
        <v>894</v>
      </c>
      <c r="E780" s="184">
        <v>41873</v>
      </c>
      <c r="F780" s="192" t="s">
        <v>896</v>
      </c>
      <c r="G780" s="468" t="s">
        <v>326</v>
      </c>
      <c r="H780" s="7" t="s">
        <v>909</v>
      </c>
      <c r="I780" s="256"/>
      <c r="J780" s="256"/>
      <c r="K780" s="568">
        <v>15433550</v>
      </c>
      <c r="L780" s="194" t="s">
        <v>24</v>
      </c>
      <c r="M780" s="194" t="s">
        <v>253</v>
      </c>
      <c r="N780" s="52" t="str">
        <f>IF(AND('331-CT'!$E$7=TH!H780,OR(L780="331",M780="331")),"331",IF(AND(OR(L780="131",M780="131"),H780='131-CT'!$E$7),"131",""))</f>
        <v/>
      </c>
      <c r="O780" s="89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15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51"/>
        <v>8</v>
      </c>
      <c r="C781" s="184">
        <f t="shared" si="56"/>
        <v>41873</v>
      </c>
      <c r="D781" s="184" t="s">
        <v>894</v>
      </c>
      <c r="E781" s="184">
        <v>41873</v>
      </c>
      <c r="F781" s="192" t="s">
        <v>897</v>
      </c>
      <c r="G781" s="468" t="s">
        <v>326</v>
      </c>
      <c r="H781" s="7"/>
      <c r="I781" s="256"/>
      <c r="J781" s="256"/>
      <c r="K781" s="568">
        <v>13657</v>
      </c>
      <c r="L781" s="194" t="s">
        <v>24</v>
      </c>
      <c r="M781" s="194" t="s">
        <v>40</v>
      </c>
      <c r="N781" s="52" t="str">
        <f>IF(AND('331-CT'!$E$7=TH!H781,OR(L781="331",M781="331")),"331",IF(AND(OR(L781="131",M781="131"),H781='131-CT'!$E$7),"131",""))</f>
        <v/>
      </c>
      <c r="O781" s="89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15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51"/>
        <v>8</v>
      </c>
      <c r="C782" s="184">
        <f t="shared" si="56"/>
        <v>41878</v>
      </c>
      <c r="D782" s="184" t="s">
        <v>894</v>
      </c>
      <c r="E782" s="184">
        <v>41878</v>
      </c>
      <c r="F782" s="192" t="s">
        <v>904</v>
      </c>
      <c r="G782" s="468" t="s">
        <v>326</v>
      </c>
      <c r="H782" s="7"/>
      <c r="I782" s="256"/>
      <c r="J782" s="256"/>
      <c r="K782" s="568">
        <v>20000000</v>
      </c>
      <c r="L782" s="194" t="s">
        <v>24</v>
      </c>
      <c r="M782" s="194" t="s">
        <v>56</v>
      </c>
      <c r="N782" s="52" t="str">
        <f>IF(AND('331-CT'!$E$7=TH!H782,OR(L782="331",M782="331")),"331",IF(AND(OR(L782="131",M782="131"),H782='131-CT'!$E$7),"131",""))</f>
        <v/>
      </c>
      <c r="O782" s="89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15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51"/>
        <v>8</v>
      </c>
      <c r="C783" s="191">
        <f t="shared" si="56"/>
        <v>41878</v>
      </c>
      <c r="D783" s="184" t="s">
        <v>894</v>
      </c>
      <c r="E783" s="184">
        <v>41878</v>
      </c>
      <c r="F783" s="192" t="s">
        <v>896</v>
      </c>
      <c r="G783" s="468" t="s">
        <v>326</v>
      </c>
      <c r="H783" s="7" t="s">
        <v>647</v>
      </c>
      <c r="I783" s="256"/>
      <c r="J783" s="256"/>
      <c r="K783" s="568">
        <v>14779096</v>
      </c>
      <c r="L783" s="194" t="s">
        <v>24</v>
      </c>
      <c r="M783" s="194" t="s">
        <v>253</v>
      </c>
      <c r="N783" s="52" t="str">
        <f>IF(AND('331-CT'!$E$7=TH!H783,OR(L783="331",M783="331")),"331",IF(AND(OR(L783="131",M783="131"),H783='131-CT'!$E$7),"131",""))</f>
        <v/>
      </c>
      <c r="O783" s="89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15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51"/>
        <v>7</v>
      </c>
      <c r="C784" s="191">
        <f t="shared" si="56"/>
        <v>41829</v>
      </c>
      <c r="D784" s="191" t="s">
        <v>901</v>
      </c>
      <c r="E784" s="184">
        <v>41829</v>
      </c>
      <c r="F784" s="192" t="s">
        <v>895</v>
      </c>
      <c r="G784" s="468" t="s">
        <v>326</v>
      </c>
      <c r="H784" s="7" t="s">
        <v>1144</v>
      </c>
      <c r="I784" s="256"/>
      <c r="J784" s="256"/>
      <c r="K784" s="568">
        <v>10000000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89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15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51"/>
        <v>7</v>
      </c>
      <c r="C785" s="191">
        <f t="shared" si="56"/>
        <v>41829</v>
      </c>
      <c r="D785" s="191" t="s">
        <v>901</v>
      </c>
      <c r="E785" s="184">
        <v>41829</v>
      </c>
      <c r="F785" s="189" t="s">
        <v>906</v>
      </c>
      <c r="G785" s="468" t="s">
        <v>326</v>
      </c>
      <c r="H785" s="7"/>
      <c r="I785" s="256"/>
      <c r="J785" s="256"/>
      <c r="K785" s="568">
        <v>15000</v>
      </c>
      <c r="L785" s="194" t="s">
        <v>83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89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>x</v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15"/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51"/>
        <v>7</v>
      </c>
      <c r="C786" s="191">
        <f t="shared" si="56"/>
        <v>41829</v>
      </c>
      <c r="D786" s="191" t="s">
        <v>901</v>
      </c>
      <c r="E786" s="184">
        <v>41829</v>
      </c>
      <c r="F786" s="189" t="s">
        <v>902</v>
      </c>
      <c r="G786" s="468" t="s">
        <v>326</v>
      </c>
      <c r="H786" s="7"/>
      <c r="I786" s="256"/>
      <c r="J786" s="256"/>
      <c r="K786" s="568">
        <v>20000</v>
      </c>
      <c r="L786" s="194" t="s">
        <v>83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89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>x</v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15"/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51"/>
        <v>7</v>
      </c>
      <c r="C787" s="191">
        <f t="shared" si="56"/>
        <v>41841</v>
      </c>
      <c r="D787" s="191" t="s">
        <v>901</v>
      </c>
      <c r="E787" s="184">
        <v>41841</v>
      </c>
      <c r="F787" s="192" t="s">
        <v>898</v>
      </c>
      <c r="G787" s="468" t="s">
        <v>326</v>
      </c>
      <c r="H787" s="193" t="s">
        <v>899</v>
      </c>
      <c r="I787" s="256"/>
      <c r="J787" s="256"/>
      <c r="K787" s="568">
        <v>16600000</v>
      </c>
      <c r="L787" s="194" t="s">
        <v>47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896" t="str">
        <f>IF(AND('341-CT'!$E$9=H787,OR(LEFT(L787,3)=$O$7,LEFT(M787,3)=$O$7)),"x","")</f>
        <v/>
      </c>
      <c r="P787" s="52" t="str">
        <f>IF(AND($B787&gt;='111'!$N$11,$B787&lt;='111'!$O$11,OR($L787=$P$7,$M787=$P$7)),"x","")</f>
        <v>x</v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15"/>
    </row>
    <row r="788" spans="1:28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51"/>
        <v>8</v>
      </c>
      <c r="C788" s="191">
        <f t="shared" si="56"/>
        <v>41859</v>
      </c>
      <c r="D788" s="191" t="s">
        <v>901</v>
      </c>
      <c r="E788" s="184">
        <v>41859</v>
      </c>
      <c r="F788" s="192" t="s">
        <v>895</v>
      </c>
      <c r="G788" s="468" t="s">
        <v>326</v>
      </c>
      <c r="H788" s="193" t="s">
        <v>1107</v>
      </c>
      <c r="I788" s="256"/>
      <c r="J788" s="256"/>
      <c r="K788" s="568">
        <v>13000000</v>
      </c>
      <c r="L788" s="194" t="s">
        <v>8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89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15"/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51"/>
        <v>8</v>
      </c>
      <c r="C789" s="191">
        <f t="shared" si="56"/>
        <v>41859</v>
      </c>
      <c r="D789" s="191" t="s">
        <v>901</v>
      </c>
      <c r="E789" s="184">
        <v>41859</v>
      </c>
      <c r="F789" s="192" t="s">
        <v>895</v>
      </c>
      <c r="G789" s="468" t="s">
        <v>326</v>
      </c>
      <c r="H789" s="7" t="s">
        <v>1149</v>
      </c>
      <c r="I789" s="256"/>
      <c r="J789" s="256"/>
      <c r="K789" s="568">
        <v>15000000</v>
      </c>
      <c r="L789" s="194" t="s">
        <v>8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89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15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51"/>
        <v>8</v>
      </c>
      <c r="C790" s="191">
        <f t="shared" si="56"/>
        <v>41859</v>
      </c>
      <c r="D790" s="191" t="s">
        <v>901</v>
      </c>
      <c r="E790" s="184">
        <v>41859</v>
      </c>
      <c r="F790" s="189" t="s">
        <v>902</v>
      </c>
      <c r="G790" s="468" t="s">
        <v>326</v>
      </c>
      <c r="H790" s="7"/>
      <c r="I790" s="256"/>
      <c r="J790" s="256"/>
      <c r="K790" s="568">
        <v>15000</v>
      </c>
      <c r="L790" s="194" t="s">
        <v>83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89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>x</v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15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51"/>
        <v>8</v>
      </c>
      <c r="C791" s="191">
        <f t="shared" si="56"/>
        <v>41871</v>
      </c>
      <c r="D791" s="191" t="s">
        <v>901</v>
      </c>
      <c r="E791" s="184">
        <v>41871</v>
      </c>
      <c r="F791" s="192" t="s">
        <v>895</v>
      </c>
      <c r="G791" s="468" t="s">
        <v>326</v>
      </c>
      <c r="H791" s="7" t="s">
        <v>1144</v>
      </c>
      <c r="I791" s="256"/>
      <c r="J791" s="256"/>
      <c r="K791" s="568">
        <v>10000000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89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15"/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51"/>
        <v>8</v>
      </c>
      <c r="C792" s="191">
        <f t="shared" si="56"/>
        <v>41871</v>
      </c>
      <c r="D792" s="191" t="s">
        <v>901</v>
      </c>
      <c r="E792" s="184">
        <v>41871</v>
      </c>
      <c r="F792" s="192" t="s">
        <v>895</v>
      </c>
      <c r="G792" s="468" t="s">
        <v>326</v>
      </c>
      <c r="H792" s="850" t="s">
        <v>1149</v>
      </c>
      <c r="I792" s="256"/>
      <c r="J792" s="256"/>
      <c r="K792" s="568">
        <v>20000000</v>
      </c>
      <c r="L792" s="194" t="s">
        <v>8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89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15"/>
    </row>
    <row r="793" spans="1:28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51"/>
        <v>8</v>
      </c>
      <c r="C793" s="191">
        <f t="shared" si="56"/>
        <v>41871</v>
      </c>
      <c r="D793" s="191" t="s">
        <v>901</v>
      </c>
      <c r="E793" s="184">
        <v>41871</v>
      </c>
      <c r="F793" s="192" t="s">
        <v>895</v>
      </c>
      <c r="G793" s="468" t="s">
        <v>326</v>
      </c>
      <c r="H793" s="7" t="s">
        <v>1014</v>
      </c>
      <c r="I793" s="256"/>
      <c r="J793" s="256"/>
      <c r="K793" s="568">
        <v>40000000</v>
      </c>
      <c r="L793" s="194" t="s">
        <v>8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89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15"/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51"/>
        <v>8</v>
      </c>
      <c r="C794" s="191">
        <f t="shared" si="56"/>
        <v>41871</v>
      </c>
      <c r="D794" s="191" t="s">
        <v>901</v>
      </c>
      <c r="E794" s="184">
        <v>41871</v>
      </c>
      <c r="F794" s="189" t="s">
        <v>906</v>
      </c>
      <c r="G794" s="468" t="s">
        <v>326</v>
      </c>
      <c r="H794" s="7"/>
      <c r="I794" s="256"/>
      <c r="J794" s="256"/>
      <c r="K794" s="568">
        <v>15000</v>
      </c>
      <c r="L794" s="194" t="s">
        <v>83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89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>x</v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15"/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51"/>
        <v>8</v>
      </c>
      <c r="C795" s="191">
        <f t="shared" si="56"/>
        <v>41871</v>
      </c>
      <c r="D795" s="191" t="s">
        <v>901</v>
      </c>
      <c r="E795" s="184">
        <v>41871</v>
      </c>
      <c r="F795" s="189" t="s">
        <v>902</v>
      </c>
      <c r="G795" s="468" t="s">
        <v>326</v>
      </c>
      <c r="H795" s="7"/>
      <c r="I795" s="256"/>
      <c r="J795" s="256"/>
      <c r="K795" s="568">
        <v>20000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9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15"/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51"/>
        <v>8</v>
      </c>
      <c r="C796" s="191">
        <f t="shared" si="56"/>
        <v>41871</v>
      </c>
      <c r="D796" s="191" t="s">
        <v>901</v>
      </c>
      <c r="E796" s="184">
        <v>41871</v>
      </c>
      <c r="F796" s="189" t="s">
        <v>902</v>
      </c>
      <c r="G796" s="468" t="s">
        <v>326</v>
      </c>
      <c r="H796" s="7"/>
      <c r="I796" s="256"/>
      <c r="J796" s="256"/>
      <c r="K796" s="568">
        <v>20000</v>
      </c>
      <c r="L796" s="194" t="s">
        <v>83</v>
      </c>
      <c r="M796" s="194" t="s">
        <v>24</v>
      </c>
      <c r="N796" s="52" t="str">
        <f>IF(AND('331-CT'!$E$7=TH!H796,OR(L796="331",M796="331")),"331",IF(AND(OR(L796="131",M796="131"),H796='131-CT'!$E$7),"131",""))</f>
        <v/>
      </c>
      <c r="O796" s="89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15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51"/>
        <v>8</v>
      </c>
      <c r="C797" s="191">
        <f t="shared" ref="C797:C850" si="57">E797</f>
        <v>41871</v>
      </c>
      <c r="D797" s="191" t="s">
        <v>901</v>
      </c>
      <c r="E797" s="184">
        <v>41871</v>
      </c>
      <c r="F797" s="189" t="s">
        <v>902</v>
      </c>
      <c r="G797" s="468" t="s">
        <v>326</v>
      </c>
      <c r="H797" s="7"/>
      <c r="I797" s="256"/>
      <c r="J797" s="256"/>
      <c r="K797" s="568">
        <v>15000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9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15"/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51"/>
        <v>8</v>
      </c>
      <c r="C798" s="191">
        <f t="shared" si="57"/>
        <v>41872</v>
      </c>
      <c r="D798" s="191" t="s">
        <v>901</v>
      </c>
      <c r="E798" s="184">
        <v>41872</v>
      </c>
      <c r="F798" s="192" t="s">
        <v>898</v>
      </c>
      <c r="G798" s="468" t="s">
        <v>326</v>
      </c>
      <c r="H798" s="193" t="s">
        <v>899</v>
      </c>
      <c r="I798" s="256"/>
      <c r="J798" s="256"/>
      <c r="K798" s="568">
        <v>35000000</v>
      </c>
      <c r="L798" s="194" t="s">
        <v>47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96" t="str">
        <f>IF(AND('341-CT'!$E$9=H798,OR(LEFT(L798,3)=$O$7,LEFT(M798,3)=$O$7)),"x","")</f>
        <v/>
      </c>
      <c r="P798" s="52" t="str">
        <f>IF(AND($B798&gt;='111'!$N$11,$B798&lt;='111'!$O$11,OR($L798=$P$7,$M798=$P$7)),"x","")</f>
        <v>x</v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15"/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51"/>
        <v>8</v>
      </c>
      <c r="C799" s="191">
        <f t="shared" si="57"/>
        <v>41878</v>
      </c>
      <c r="D799" s="191" t="s">
        <v>901</v>
      </c>
      <c r="E799" s="184">
        <v>41878</v>
      </c>
      <c r="F799" s="189" t="s">
        <v>895</v>
      </c>
      <c r="G799" s="468" t="s">
        <v>326</v>
      </c>
      <c r="H799" s="850" t="s">
        <v>1078</v>
      </c>
      <c r="I799" s="256"/>
      <c r="J799" s="256"/>
      <c r="K799" s="568">
        <v>20000000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/>
      </c>
      <c r="O799" s="89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15"/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51"/>
        <v>8</v>
      </c>
      <c r="C800" s="191">
        <f t="shared" si="57"/>
        <v>41878</v>
      </c>
      <c r="D800" s="191" t="s">
        <v>901</v>
      </c>
      <c r="E800" s="184">
        <v>41878</v>
      </c>
      <c r="F800" s="189" t="s">
        <v>895</v>
      </c>
      <c r="G800" s="468" t="s">
        <v>326</v>
      </c>
      <c r="H800" s="850" t="s">
        <v>1082</v>
      </c>
      <c r="I800" s="256"/>
      <c r="J800" s="256"/>
      <c r="K800" s="568">
        <v>15000000</v>
      </c>
      <c r="L800" s="194" t="s">
        <v>8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9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15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51"/>
        <v>8</v>
      </c>
      <c r="C801" s="191">
        <f t="shared" si="57"/>
        <v>41878</v>
      </c>
      <c r="D801" s="191" t="s">
        <v>901</v>
      </c>
      <c r="E801" s="184">
        <v>41878</v>
      </c>
      <c r="F801" s="189" t="s">
        <v>895</v>
      </c>
      <c r="G801" s="468" t="s">
        <v>326</v>
      </c>
      <c r="H801" s="850" t="s">
        <v>1014</v>
      </c>
      <c r="I801" s="256"/>
      <c r="J801" s="256"/>
      <c r="K801" s="568">
        <v>15800000</v>
      </c>
      <c r="L801" s="194" t="s">
        <v>8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9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15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51"/>
        <v>8</v>
      </c>
      <c r="C802" s="191">
        <f t="shared" si="57"/>
        <v>41878</v>
      </c>
      <c r="D802" s="191" t="s">
        <v>901</v>
      </c>
      <c r="E802" s="184">
        <v>41878</v>
      </c>
      <c r="F802" s="189" t="s">
        <v>902</v>
      </c>
      <c r="G802" s="468" t="s">
        <v>326</v>
      </c>
      <c r="H802" s="7"/>
      <c r="I802" s="256"/>
      <c r="J802" s="256"/>
      <c r="K802" s="568">
        <v>15000</v>
      </c>
      <c r="L802" s="194" t="s">
        <v>83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89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>x</v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15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ref="B803:B866" si="58">IF(C803&lt;&gt;"",MONTH(C803),"")</f>
        <v>8</v>
      </c>
      <c r="C803" s="191">
        <f t="shared" si="57"/>
        <v>41878</v>
      </c>
      <c r="D803" s="191" t="s">
        <v>901</v>
      </c>
      <c r="E803" s="184">
        <v>41878</v>
      </c>
      <c r="F803" s="189" t="s">
        <v>902</v>
      </c>
      <c r="G803" s="468" t="s">
        <v>326</v>
      </c>
      <c r="H803" s="7"/>
      <c r="I803" s="256"/>
      <c r="J803" s="256"/>
      <c r="K803" s="568">
        <v>20000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9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15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58"/>
        <v>9</v>
      </c>
      <c r="C804" s="191">
        <f t="shared" si="57"/>
        <v>41886</v>
      </c>
      <c r="D804" s="191" t="s">
        <v>894</v>
      </c>
      <c r="E804" s="184">
        <v>41886</v>
      </c>
      <c r="F804" s="192" t="s">
        <v>896</v>
      </c>
      <c r="G804" s="468" t="s">
        <v>326</v>
      </c>
      <c r="H804" s="7" t="s">
        <v>908</v>
      </c>
      <c r="I804" s="256"/>
      <c r="J804" s="256"/>
      <c r="K804" s="568">
        <v>11418000</v>
      </c>
      <c r="L804" s="194" t="s">
        <v>24</v>
      </c>
      <c r="M804" s="194" t="s">
        <v>253</v>
      </c>
      <c r="N804" s="52" t="str">
        <f>IF(AND('331-CT'!$E$7=TH!H804,OR(L804="331",M804="331")),"331",IF(AND(OR(L804="131",M804="131"),H804='131-CT'!$E$7),"131",""))</f>
        <v/>
      </c>
      <c r="O804" s="89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15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58"/>
        <v>9</v>
      </c>
      <c r="C805" s="191">
        <f t="shared" si="57"/>
        <v>41887</v>
      </c>
      <c r="D805" s="191" t="s">
        <v>894</v>
      </c>
      <c r="E805" s="184">
        <v>41887</v>
      </c>
      <c r="F805" s="192" t="s">
        <v>896</v>
      </c>
      <c r="G805" s="468" t="s">
        <v>326</v>
      </c>
      <c r="H805" s="7" t="s">
        <v>783</v>
      </c>
      <c r="I805" s="256"/>
      <c r="J805" s="256"/>
      <c r="K805" s="568">
        <v>5380000</v>
      </c>
      <c r="L805" s="194" t="s">
        <v>24</v>
      </c>
      <c r="M805" s="194" t="s">
        <v>253</v>
      </c>
      <c r="N805" s="52" t="str">
        <f>IF(AND('331-CT'!$E$7=TH!H805,OR(L805="331",M805="331")),"331",IF(AND(OR(L805="131",M805="131"),H805='131-CT'!$E$7),"131",""))</f>
        <v/>
      </c>
      <c r="O805" s="89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15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58"/>
        <v>9</v>
      </c>
      <c r="C806" s="191">
        <f t="shared" si="57"/>
        <v>41887</v>
      </c>
      <c r="D806" s="191" t="s">
        <v>894</v>
      </c>
      <c r="E806" s="184">
        <v>41887</v>
      </c>
      <c r="F806" s="192" t="s">
        <v>896</v>
      </c>
      <c r="G806" s="468" t="s">
        <v>326</v>
      </c>
      <c r="H806" s="7" t="s">
        <v>655</v>
      </c>
      <c r="I806" s="256"/>
      <c r="J806" s="256"/>
      <c r="K806" s="568">
        <v>49422400</v>
      </c>
      <c r="L806" s="194" t="s">
        <v>24</v>
      </c>
      <c r="M806" s="194" t="s">
        <v>253</v>
      </c>
      <c r="N806" s="52" t="str">
        <f>IF(AND('331-CT'!$E$7=TH!H806,OR(L806="331",M806="331")),"331",IF(AND(OR(L806="131",M806="131"),H806='131-CT'!$E$7),"131",""))</f>
        <v/>
      </c>
      <c r="O806" s="89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15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58"/>
        <v>9</v>
      </c>
      <c r="C807" s="191">
        <f t="shared" si="57"/>
        <v>41894</v>
      </c>
      <c r="D807" s="191" t="s">
        <v>894</v>
      </c>
      <c r="E807" s="184">
        <v>41894</v>
      </c>
      <c r="F807" s="192" t="s">
        <v>896</v>
      </c>
      <c r="G807" s="468" t="s">
        <v>326</v>
      </c>
      <c r="H807" s="7" t="s">
        <v>647</v>
      </c>
      <c r="I807" s="256"/>
      <c r="J807" s="256"/>
      <c r="K807" s="568">
        <v>62670304</v>
      </c>
      <c r="L807" s="194" t="s">
        <v>24</v>
      </c>
      <c r="M807" s="194" t="s">
        <v>253</v>
      </c>
      <c r="N807" s="52" t="str">
        <f>IF(AND('331-CT'!$E$7=TH!H807,OR(L807="331",M807="331")),"331",IF(AND(OR(L807="131",M807="131"),H807='131-CT'!$E$7),"131",""))</f>
        <v/>
      </c>
      <c r="O807" s="89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15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58"/>
        <v>9</v>
      </c>
      <c r="C808" s="191">
        <f t="shared" si="57"/>
        <v>41898</v>
      </c>
      <c r="D808" s="191" t="s">
        <v>894</v>
      </c>
      <c r="E808" s="184">
        <v>41898</v>
      </c>
      <c r="F808" s="192" t="s">
        <v>896</v>
      </c>
      <c r="G808" s="468" t="s">
        <v>326</v>
      </c>
      <c r="H808" s="7" t="s">
        <v>603</v>
      </c>
      <c r="I808" s="256"/>
      <c r="J808" s="256"/>
      <c r="K808" s="568">
        <v>50000000</v>
      </c>
      <c r="L808" s="194" t="s">
        <v>24</v>
      </c>
      <c r="M808" s="194" t="s">
        <v>253</v>
      </c>
      <c r="N808" s="52" t="str">
        <f>IF(AND('331-CT'!$E$7=TH!H808,OR(L808="331",M808="331")),"331",IF(AND(OR(L808="131",M808="131"),H808='131-CT'!$E$7),"131",""))</f>
        <v/>
      </c>
      <c r="O808" s="89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15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58"/>
        <v>9</v>
      </c>
      <c r="C809" s="191">
        <f t="shared" si="57"/>
        <v>41898</v>
      </c>
      <c r="D809" s="191" t="s">
        <v>894</v>
      </c>
      <c r="E809" s="184">
        <v>41898</v>
      </c>
      <c r="F809" s="192" t="s">
        <v>896</v>
      </c>
      <c r="G809" s="468" t="s">
        <v>326</v>
      </c>
      <c r="H809" s="45" t="s">
        <v>470</v>
      </c>
      <c r="I809" s="256"/>
      <c r="J809" s="256"/>
      <c r="K809" s="568">
        <v>6501550</v>
      </c>
      <c r="L809" s="194" t="s">
        <v>24</v>
      </c>
      <c r="M809" s="194" t="s">
        <v>253</v>
      </c>
      <c r="N809" s="52" t="str">
        <f>IF(AND('331-CT'!$E$7=TH!H809,OR(L809="331",M809="331")),"331",IF(AND(OR(L809="131",M809="131"),H809='131-CT'!$E$7),"131",""))</f>
        <v/>
      </c>
      <c r="O809" s="89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15"/>
    </row>
    <row r="810" spans="1:28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58"/>
        <v>9</v>
      </c>
      <c r="C810" s="191">
        <f t="shared" si="57"/>
        <v>41898</v>
      </c>
      <c r="D810" s="191" t="s">
        <v>894</v>
      </c>
      <c r="E810" s="184">
        <v>41898</v>
      </c>
      <c r="F810" s="192" t="s">
        <v>896</v>
      </c>
      <c r="G810" s="468" t="s">
        <v>326</v>
      </c>
      <c r="H810" s="7" t="s">
        <v>909</v>
      </c>
      <c r="I810" s="256"/>
      <c r="J810" s="256"/>
      <c r="K810" s="568">
        <v>20330090</v>
      </c>
      <c r="L810" s="194" t="s">
        <v>24</v>
      </c>
      <c r="M810" s="194" t="s">
        <v>253</v>
      </c>
      <c r="N810" s="52" t="str">
        <f>IF(AND('331-CT'!$E$7=TH!H810,OR(L810="331",M810="331")),"331",IF(AND(OR(L810="131",M810="131"),H810='131-CT'!$E$7),"131",""))</f>
        <v/>
      </c>
      <c r="O810" s="89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15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58"/>
        <v>9</v>
      </c>
      <c r="C811" s="191">
        <f t="shared" si="57"/>
        <v>41899</v>
      </c>
      <c r="D811" s="191" t="s">
        <v>894</v>
      </c>
      <c r="E811" s="184">
        <v>41899</v>
      </c>
      <c r="F811" s="192" t="s">
        <v>896</v>
      </c>
      <c r="G811" s="468" t="s">
        <v>326</v>
      </c>
      <c r="H811" s="44" t="s">
        <v>583</v>
      </c>
      <c r="I811" s="256"/>
      <c r="J811" s="256"/>
      <c r="K811" s="568">
        <v>10910900</v>
      </c>
      <c r="L811" s="194" t="s">
        <v>24</v>
      </c>
      <c r="M811" s="194" t="s">
        <v>253</v>
      </c>
      <c r="N811" s="52" t="str">
        <f>IF(AND('331-CT'!$E$7=TH!H811,OR(L811="331",M811="331")),"331",IF(AND(OR(L811="131",M811="131"),H811='131-CT'!$E$7),"131",""))</f>
        <v/>
      </c>
      <c r="O811" s="89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15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58"/>
        <v>9</v>
      </c>
      <c r="C812" s="191">
        <f t="shared" si="57"/>
        <v>41904</v>
      </c>
      <c r="D812" s="191" t="s">
        <v>894</v>
      </c>
      <c r="E812" s="184">
        <v>41904</v>
      </c>
      <c r="F812" s="192" t="s">
        <v>896</v>
      </c>
      <c r="G812" s="468" t="s">
        <v>326</v>
      </c>
      <c r="H812" s="7" t="s">
        <v>908</v>
      </c>
      <c r="I812" s="256"/>
      <c r="J812" s="256"/>
      <c r="K812" s="568">
        <v>22574970</v>
      </c>
      <c r="L812" s="194" t="s">
        <v>24</v>
      </c>
      <c r="M812" s="194" t="s">
        <v>253</v>
      </c>
      <c r="N812" s="52" t="str">
        <f>IF(AND('331-CT'!$E$7=TH!H812,OR(L812="331",M812="331")),"331",IF(AND(OR(L812="131",M812="131"),H812='131-CT'!$E$7),"131",""))</f>
        <v/>
      </c>
      <c r="O812" s="89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15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58"/>
        <v>9</v>
      </c>
      <c r="C813" s="191">
        <f t="shared" si="57"/>
        <v>41907</v>
      </c>
      <c r="D813" s="191" t="s">
        <v>894</v>
      </c>
      <c r="E813" s="184">
        <v>41907</v>
      </c>
      <c r="F813" s="192" t="s">
        <v>897</v>
      </c>
      <c r="G813" s="468" t="s">
        <v>326</v>
      </c>
      <c r="H813" s="7"/>
      <c r="I813" s="256"/>
      <c r="J813" s="256"/>
      <c r="K813" s="568">
        <v>14646</v>
      </c>
      <c r="L813" s="194" t="s">
        <v>24</v>
      </c>
      <c r="M813" s="194" t="s">
        <v>40</v>
      </c>
      <c r="N813" s="52" t="str">
        <f>IF(AND('331-CT'!$E$7=TH!H813,OR(L813="331",M813="331")),"331",IF(AND(OR(L813="131",M813="131"),H813='131-CT'!$E$7),"131",""))</f>
        <v/>
      </c>
      <c r="O813" s="89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15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58"/>
        <v>9</v>
      </c>
      <c r="C814" s="191">
        <f t="shared" si="57"/>
        <v>41908</v>
      </c>
      <c r="D814" s="191" t="s">
        <v>894</v>
      </c>
      <c r="E814" s="184">
        <v>41908</v>
      </c>
      <c r="F814" s="192" t="s">
        <v>896</v>
      </c>
      <c r="G814" s="468" t="s">
        <v>326</v>
      </c>
      <c r="H814" s="7" t="s">
        <v>910</v>
      </c>
      <c r="I814" s="256"/>
      <c r="J814" s="256"/>
      <c r="K814" s="568">
        <v>7559200</v>
      </c>
      <c r="L814" s="194" t="s">
        <v>24</v>
      </c>
      <c r="M814" s="194" t="s">
        <v>253</v>
      </c>
      <c r="N814" s="52" t="str">
        <f>IF(AND('331-CT'!$E$7=TH!H814,OR(L814="331",M814="331")),"331",IF(AND(OR(L814="131",M814="131"),H814='131-CT'!$E$7),"131",""))</f>
        <v/>
      </c>
      <c r="O814" s="89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15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58"/>
        <v>9</v>
      </c>
      <c r="C815" s="191">
        <f t="shared" si="57"/>
        <v>41912</v>
      </c>
      <c r="D815" s="191" t="s">
        <v>894</v>
      </c>
      <c r="E815" s="184">
        <v>41912</v>
      </c>
      <c r="F815" s="192" t="s">
        <v>896</v>
      </c>
      <c r="G815" s="468" t="s">
        <v>326</v>
      </c>
      <c r="H815" s="7" t="s">
        <v>603</v>
      </c>
      <c r="I815" s="256"/>
      <c r="J815" s="256"/>
      <c r="K815" s="568">
        <v>39537025</v>
      </c>
      <c r="L815" s="194" t="s">
        <v>24</v>
      </c>
      <c r="M815" s="194" t="s">
        <v>253</v>
      </c>
      <c r="N815" s="52" t="str">
        <f>IF(AND('331-CT'!$E$7=TH!H815,OR(L815="331",M815="331")),"331",IF(AND(OR(L815="131",M815="131"),H815='131-CT'!$E$7),"131",""))</f>
        <v/>
      </c>
      <c r="O815" s="89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15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58"/>
        <v>10</v>
      </c>
      <c r="C816" s="191">
        <f t="shared" si="57"/>
        <v>41913</v>
      </c>
      <c r="D816" s="191" t="s">
        <v>894</v>
      </c>
      <c r="E816" s="184">
        <v>41913</v>
      </c>
      <c r="F816" s="192" t="s">
        <v>896</v>
      </c>
      <c r="G816" s="468" t="s">
        <v>326</v>
      </c>
      <c r="H816" s="7" t="s">
        <v>910</v>
      </c>
      <c r="I816" s="256"/>
      <c r="J816" s="256"/>
      <c r="K816" s="568">
        <v>12938200</v>
      </c>
      <c r="L816" s="194" t="s">
        <v>24</v>
      </c>
      <c r="M816" s="194" t="s">
        <v>253</v>
      </c>
      <c r="N816" s="52" t="str">
        <f>IF(AND('331-CT'!$E$7=TH!H816,OR(L816="331",M816="331")),"331",IF(AND(OR(L816="131",M816="131"),H816='131-CT'!$E$7),"131",""))</f>
        <v/>
      </c>
      <c r="O816" s="89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15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58"/>
        <v>10</v>
      </c>
      <c r="C817" s="191">
        <f t="shared" si="57"/>
        <v>41914</v>
      </c>
      <c r="D817" s="191" t="s">
        <v>894</v>
      </c>
      <c r="E817" s="184">
        <v>41914</v>
      </c>
      <c r="F817" s="192" t="s">
        <v>907</v>
      </c>
      <c r="G817" s="468" t="s">
        <v>326</v>
      </c>
      <c r="H817" s="7"/>
      <c r="I817" s="256"/>
      <c r="J817" s="256"/>
      <c r="K817" s="38">
        <v>15000000</v>
      </c>
      <c r="L817" s="194" t="s">
        <v>24</v>
      </c>
      <c r="M817" s="194" t="s">
        <v>56</v>
      </c>
      <c r="N817" s="52" t="str">
        <f>IF(AND('331-CT'!$E$7=TH!H817,OR(L817="331",M817="331")),"331",IF(AND(OR(L817="131",M817="131"),H817='131-CT'!$E$7),"131",""))</f>
        <v/>
      </c>
      <c r="O817" s="89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15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58"/>
        <v>9</v>
      </c>
      <c r="C818" s="191">
        <f t="shared" si="57"/>
        <v>41891</v>
      </c>
      <c r="D818" s="191" t="s">
        <v>901</v>
      </c>
      <c r="E818" s="184">
        <v>41891</v>
      </c>
      <c r="F818" s="192" t="s">
        <v>898</v>
      </c>
      <c r="G818" s="468" t="s">
        <v>326</v>
      </c>
      <c r="H818" s="193" t="s">
        <v>899</v>
      </c>
      <c r="I818" s="256"/>
      <c r="J818" s="256"/>
      <c r="K818" s="568">
        <v>26300000</v>
      </c>
      <c r="L818" s="194" t="s">
        <v>47</v>
      </c>
      <c r="M818" s="194" t="s">
        <v>24</v>
      </c>
      <c r="N818" s="52" t="str">
        <f>IF(AND('331-CT'!$E$7=TH!H818,OR(L818="331",M818="331")),"331",IF(AND(OR(L818="131",M818="131"),H818='131-CT'!$E$7),"131",""))</f>
        <v/>
      </c>
      <c r="O818" s="896" t="str">
        <f>IF(AND('341-CT'!$E$9=H818,OR(LEFT(L818,3)=$O$7,LEFT(M818,3)=$O$7)),"x","")</f>
        <v/>
      </c>
      <c r="P818" s="52" t="str">
        <f>IF(AND($B818&gt;='111'!$N$11,$B818&lt;='111'!$O$11,OR($L818=$P$7,$M818=$P$7)),"x","")</f>
        <v>x</v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15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58"/>
        <v>9</v>
      </c>
      <c r="C819" s="191">
        <f t="shared" si="57"/>
        <v>41891</v>
      </c>
      <c r="D819" s="191" t="s">
        <v>901</v>
      </c>
      <c r="E819" s="184">
        <v>41891</v>
      </c>
      <c r="F819" s="189" t="s">
        <v>895</v>
      </c>
      <c r="G819" s="468" t="s">
        <v>326</v>
      </c>
      <c r="H819" s="850" t="s">
        <v>1078</v>
      </c>
      <c r="I819" s="256"/>
      <c r="J819" s="256"/>
      <c r="K819" s="568">
        <v>20000000</v>
      </c>
      <c r="L819" s="194" t="s">
        <v>8</v>
      </c>
      <c r="M819" s="194" t="s">
        <v>24</v>
      </c>
      <c r="N819" s="52" t="str">
        <f>IF(AND('331-CT'!$E$7=TH!H819,OR(L819="331",M819="331")),"331",IF(AND(OR(L819="131",M819="131"),H819='131-CT'!$E$7),"131",""))</f>
        <v/>
      </c>
      <c r="O819" s="89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15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58"/>
        <v>9</v>
      </c>
      <c r="C820" s="191">
        <f t="shared" si="57"/>
        <v>41891</v>
      </c>
      <c r="D820" s="191" t="s">
        <v>901</v>
      </c>
      <c r="E820" s="184">
        <v>41891</v>
      </c>
      <c r="F820" s="189" t="s">
        <v>895</v>
      </c>
      <c r="G820" s="468" t="s">
        <v>326</v>
      </c>
      <c r="H820" s="850" t="s">
        <v>1082</v>
      </c>
      <c r="I820" s="256"/>
      <c r="J820" s="256"/>
      <c r="K820" s="568">
        <v>20000000</v>
      </c>
      <c r="L820" s="194" t="s">
        <v>8</v>
      </c>
      <c r="M820" s="194" t="s">
        <v>24</v>
      </c>
      <c r="N820" s="52" t="str">
        <f>IF(AND('331-CT'!$E$7=TH!H820,OR(L820="331",M820="331")),"331",IF(AND(OR(L820="131",M820="131"),H820='131-CT'!$E$7),"131",""))</f>
        <v/>
      </c>
      <c r="O820" s="89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15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58"/>
        <v>9</v>
      </c>
      <c r="C821" s="191">
        <f t="shared" si="57"/>
        <v>41891</v>
      </c>
      <c r="D821" s="191" t="s">
        <v>901</v>
      </c>
      <c r="E821" s="184">
        <v>41891</v>
      </c>
      <c r="F821" s="189" t="s">
        <v>902</v>
      </c>
      <c r="G821" s="468" t="s">
        <v>326</v>
      </c>
      <c r="H821" s="7"/>
      <c r="I821" s="256"/>
      <c r="J821" s="256"/>
      <c r="K821" s="568">
        <v>15000</v>
      </c>
      <c r="L821" s="194" t="s">
        <v>83</v>
      </c>
      <c r="M821" s="194" t="s">
        <v>24</v>
      </c>
      <c r="N821" s="52" t="str">
        <f>IF(AND('331-CT'!$E$7=TH!H821,OR(L821="331",M821="331")),"331",IF(AND(OR(L821="131",M821="131"),H821='131-CT'!$E$7),"131",""))</f>
        <v/>
      </c>
      <c r="O821" s="89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>x</v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15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58"/>
        <v>9</v>
      </c>
      <c r="C822" s="191">
        <f t="shared" si="57"/>
        <v>41891</v>
      </c>
      <c r="D822" s="191" t="s">
        <v>901</v>
      </c>
      <c r="E822" s="184">
        <v>41891</v>
      </c>
      <c r="F822" s="189" t="s">
        <v>902</v>
      </c>
      <c r="G822" s="468" t="s">
        <v>326</v>
      </c>
      <c r="H822" s="7"/>
      <c r="I822" s="256"/>
      <c r="J822" s="256"/>
      <c r="K822" s="568">
        <v>15000</v>
      </c>
      <c r="L822" s="194" t="s">
        <v>83</v>
      </c>
      <c r="M822" s="194" t="s">
        <v>24</v>
      </c>
      <c r="N822" s="52" t="str">
        <f>IF(AND('331-CT'!$E$7=TH!H822,OR(L822="331",M822="331")),"331",IF(AND(OR(L822="131",M822="131"),H822='131-CT'!$E$7),"131",""))</f>
        <v/>
      </c>
      <c r="O822" s="89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>x</v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15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58"/>
        <v>9</v>
      </c>
      <c r="C823" s="191">
        <f t="shared" si="57"/>
        <v>41895</v>
      </c>
      <c r="D823" s="191" t="s">
        <v>901</v>
      </c>
      <c r="E823" s="184">
        <v>41895</v>
      </c>
      <c r="F823" s="192" t="s">
        <v>898</v>
      </c>
      <c r="G823" s="468" t="s">
        <v>326</v>
      </c>
      <c r="H823" s="193" t="s">
        <v>899</v>
      </c>
      <c r="I823" s="256"/>
      <c r="J823" s="256"/>
      <c r="K823" s="568">
        <v>62600000</v>
      </c>
      <c r="L823" s="194" t="s">
        <v>47</v>
      </c>
      <c r="M823" s="194" t="s">
        <v>24</v>
      </c>
      <c r="N823" s="52" t="str">
        <f>IF(AND('331-CT'!$E$7=TH!H823,OR(L823="331",M823="331")),"331",IF(AND(OR(L823="131",M823="131"),H823='131-CT'!$E$7),"131",""))</f>
        <v/>
      </c>
      <c r="O823" s="896" t="str">
        <f>IF(AND('341-CT'!$E$9=H823,OR(LEFT(L823,3)=$O$7,LEFT(M823,3)=$O$7)),"x","")</f>
        <v/>
      </c>
      <c r="P823" s="52" t="str">
        <f>IF(AND($B823&gt;='111'!$N$11,$B823&lt;='111'!$O$11,OR($L823=$P$7,$M823=$P$7)),"x","")</f>
        <v>x</v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15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58"/>
        <v>9</v>
      </c>
      <c r="C824" s="191">
        <f t="shared" si="57"/>
        <v>41898</v>
      </c>
      <c r="D824" s="191" t="s">
        <v>901</v>
      </c>
      <c r="E824" s="184">
        <v>41898</v>
      </c>
      <c r="F824" s="189" t="s">
        <v>895</v>
      </c>
      <c r="G824" s="468" t="s">
        <v>326</v>
      </c>
      <c r="H824" s="850" t="s">
        <v>1078</v>
      </c>
      <c r="I824" s="256"/>
      <c r="J824" s="256"/>
      <c r="K824" s="568">
        <v>19985000</v>
      </c>
      <c r="L824" s="194" t="s">
        <v>8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89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15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58"/>
        <v>9</v>
      </c>
      <c r="C825" s="191">
        <f t="shared" si="57"/>
        <v>41898</v>
      </c>
      <c r="D825" s="191" t="s">
        <v>901</v>
      </c>
      <c r="E825" s="184">
        <v>41898</v>
      </c>
      <c r="F825" s="189" t="s">
        <v>895</v>
      </c>
      <c r="G825" s="468" t="s">
        <v>326</v>
      </c>
      <c r="H825" s="850" t="s">
        <v>1014</v>
      </c>
      <c r="I825" s="256"/>
      <c r="J825" s="256"/>
      <c r="K825" s="568">
        <v>39985000</v>
      </c>
      <c r="L825" s="194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89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15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58"/>
        <v>9</v>
      </c>
      <c r="C826" s="191">
        <f t="shared" si="57"/>
        <v>41898</v>
      </c>
      <c r="D826" s="191" t="s">
        <v>901</v>
      </c>
      <c r="E826" s="184">
        <v>41898</v>
      </c>
      <c r="F826" s="192" t="s">
        <v>898</v>
      </c>
      <c r="G826" s="468" t="s">
        <v>326</v>
      </c>
      <c r="H826" s="193" t="s">
        <v>899</v>
      </c>
      <c r="I826" s="256"/>
      <c r="J826" s="256"/>
      <c r="K826" s="568">
        <v>16800000</v>
      </c>
      <c r="L826" s="194" t="s">
        <v>47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896" t="str">
        <f>IF(AND('341-CT'!$E$9=H826,OR(LEFT(L826,3)=$O$7,LEFT(M826,3)=$O$7)),"x","")</f>
        <v/>
      </c>
      <c r="P826" s="52" t="str">
        <f>IF(AND($B826&gt;='111'!$N$11,$B826&lt;='111'!$O$11,OR($L826=$P$7,$M826=$P$7)),"x","")</f>
        <v>x</v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15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58"/>
        <v>9</v>
      </c>
      <c r="C827" s="191">
        <f t="shared" si="57"/>
        <v>41898</v>
      </c>
      <c r="D827" s="191" t="s">
        <v>901</v>
      </c>
      <c r="E827" s="184">
        <v>41898</v>
      </c>
      <c r="F827" s="189" t="s">
        <v>902</v>
      </c>
      <c r="G827" s="468" t="s">
        <v>326</v>
      </c>
      <c r="H827" s="7"/>
      <c r="I827" s="256"/>
      <c r="J827" s="256"/>
      <c r="K827" s="568">
        <v>15000</v>
      </c>
      <c r="L827" s="194" t="s">
        <v>83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89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>x</v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15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58"/>
        <v>9</v>
      </c>
      <c r="C828" s="191">
        <f t="shared" si="57"/>
        <v>41898</v>
      </c>
      <c r="D828" s="191" t="s">
        <v>901</v>
      </c>
      <c r="E828" s="184">
        <v>41898</v>
      </c>
      <c r="F828" s="189" t="s">
        <v>902</v>
      </c>
      <c r="G828" s="468" t="s">
        <v>326</v>
      </c>
      <c r="H828" s="7"/>
      <c r="I828" s="256"/>
      <c r="J828" s="256"/>
      <c r="K828" s="568">
        <v>15000</v>
      </c>
      <c r="L828" s="194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89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15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58"/>
        <v>9</v>
      </c>
      <c r="C829" s="191">
        <f t="shared" si="57"/>
        <v>41906</v>
      </c>
      <c r="D829" s="191" t="s">
        <v>901</v>
      </c>
      <c r="E829" s="184">
        <v>41906</v>
      </c>
      <c r="F829" s="192" t="s">
        <v>898</v>
      </c>
      <c r="G829" s="468" t="s">
        <v>326</v>
      </c>
      <c r="H829" s="193" t="s">
        <v>899</v>
      </c>
      <c r="I829" s="256"/>
      <c r="J829" s="256"/>
      <c r="K829" s="568">
        <v>11500000</v>
      </c>
      <c r="L829" s="194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896" t="str">
        <f>IF(AND('341-CT'!$E$9=H829,OR(LEFT(L829,3)=$O$7,LEFT(M829,3)=$O$7)),"x","")</f>
        <v/>
      </c>
      <c r="P829" s="52" t="str">
        <f>IF(AND($B829&gt;='111'!$N$11,$B829&lt;='111'!$O$11,OR($L829=$P$7,$M829=$P$7)),"x","")</f>
        <v>x</v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15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58"/>
        <v>9</v>
      </c>
      <c r="C830" s="191">
        <f t="shared" si="57"/>
        <v>41906</v>
      </c>
      <c r="D830" s="191" t="s">
        <v>901</v>
      </c>
      <c r="E830" s="184">
        <v>41906</v>
      </c>
      <c r="F830" s="189" t="s">
        <v>895</v>
      </c>
      <c r="G830" s="468" t="s">
        <v>326</v>
      </c>
      <c r="H830" s="7" t="s">
        <v>1144</v>
      </c>
      <c r="I830" s="256"/>
      <c r="J830" s="256"/>
      <c r="K830" s="568">
        <v>11000000</v>
      </c>
      <c r="L830" s="194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15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58"/>
        <v>9</v>
      </c>
      <c r="C831" s="191">
        <f t="shared" si="57"/>
        <v>41906</v>
      </c>
      <c r="D831" s="191" t="s">
        <v>901</v>
      </c>
      <c r="E831" s="184">
        <v>41906</v>
      </c>
      <c r="F831" s="189" t="s">
        <v>895</v>
      </c>
      <c r="G831" s="468" t="s">
        <v>326</v>
      </c>
      <c r="H831" s="7" t="s">
        <v>1082</v>
      </c>
      <c r="I831" s="256"/>
      <c r="J831" s="256"/>
      <c r="K831" s="568">
        <v>11000000</v>
      </c>
      <c r="L831" s="194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15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58"/>
        <v>9</v>
      </c>
      <c r="C832" s="191">
        <f t="shared" si="57"/>
        <v>41906</v>
      </c>
      <c r="D832" s="191" t="s">
        <v>901</v>
      </c>
      <c r="E832" s="184">
        <v>41906</v>
      </c>
      <c r="F832" s="189" t="s">
        <v>902</v>
      </c>
      <c r="G832" s="468" t="s">
        <v>326</v>
      </c>
      <c r="H832" s="7"/>
      <c r="I832" s="256"/>
      <c r="J832" s="256"/>
      <c r="K832" s="568">
        <v>20000</v>
      </c>
      <c r="L832" s="194" t="s">
        <v>83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89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>x</v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15"/>
    </row>
    <row r="833" spans="1:28" s="211" customFormat="1" ht="15.75" customHeight="1">
      <c r="A833" s="204" t="str">
        <f>IF(B833&lt;&gt;"",IF(AND(B833&gt;=_TM1,B833&lt;=_TM2,OR(TH!L833="1111",TH!M833="1111")),TH!D833,""),"")</f>
        <v>GBN</v>
      </c>
      <c r="B833" s="36">
        <f t="shared" si="58"/>
        <v>10</v>
      </c>
      <c r="C833" s="191">
        <f t="shared" si="57"/>
        <v>41914</v>
      </c>
      <c r="D833" s="191" t="s">
        <v>901</v>
      </c>
      <c r="E833" s="184">
        <v>41914</v>
      </c>
      <c r="F833" s="192" t="s">
        <v>898</v>
      </c>
      <c r="G833" s="468" t="s">
        <v>326</v>
      </c>
      <c r="H833" s="193" t="s">
        <v>899</v>
      </c>
      <c r="I833" s="256"/>
      <c r="J833" s="256"/>
      <c r="K833" s="568">
        <v>45000000</v>
      </c>
      <c r="L833" s="194" t="s">
        <v>47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89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15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58"/>
        <v>10</v>
      </c>
      <c r="C834" s="191">
        <f t="shared" si="57"/>
        <v>41914</v>
      </c>
      <c r="D834" s="191" t="s">
        <v>901</v>
      </c>
      <c r="E834" s="184">
        <v>41914</v>
      </c>
      <c r="F834" s="189" t="s">
        <v>895</v>
      </c>
      <c r="G834" s="468" t="s">
        <v>326</v>
      </c>
      <c r="H834" s="210"/>
      <c r="I834" s="256"/>
      <c r="J834" s="256"/>
      <c r="K834" s="568">
        <v>15000000</v>
      </c>
      <c r="L834" s="194" t="s">
        <v>56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89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15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58"/>
        <v>10</v>
      </c>
      <c r="C835" s="191">
        <f t="shared" si="57"/>
        <v>41914</v>
      </c>
      <c r="D835" s="191" t="s">
        <v>901</v>
      </c>
      <c r="E835" s="184">
        <v>41914</v>
      </c>
      <c r="F835" s="189" t="s">
        <v>902</v>
      </c>
      <c r="G835" s="468" t="s">
        <v>326</v>
      </c>
      <c r="H835" s="210"/>
      <c r="I835" s="256"/>
      <c r="J835" s="256"/>
      <c r="K835" s="568">
        <v>15000</v>
      </c>
      <c r="L835" s="194" t="s">
        <v>83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89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>x</v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15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58"/>
        <v>10</v>
      </c>
      <c r="C836" s="191">
        <f t="shared" si="57"/>
        <v>41919</v>
      </c>
      <c r="D836" s="191" t="s">
        <v>894</v>
      </c>
      <c r="E836" s="184">
        <v>41919</v>
      </c>
      <c r="F836" s="192" t="s">
        <v>896</v>
      </c>
      <c r="G836" s="468" t="s">
        <v>326</v>
      </c>
      <c r="H836" s="7" t="s">
        <v>603</v>
      </c>
      <c r="I836" s="256"/>
      <c r="J836" s="256"/>
      <c r="K836" s="568">
        <v>26131581</v>
      </c>
      <c r="L836" s="194" t="s">
        <v>24</v>
      </c>
      <c r="M836" s="194" t="s">
        <v>253</v>
      </c>
      <c r="N836" s="52" t="str">
        <f>IF(AND('331-CT'!$E$7=TH!H836,OR(L836="331",M836="331")),"331",IF(AND(OR(L836="131",M836="131"),H836='131-CT'!$E$7),"131",""))</f>
        <v/>
      </c>
      <c r="O836" s="89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15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58"/>
        <v>10</v>
      </c>
      <c r="C837" s="191">
        <f t="shared" si="57"/>
        <v>41919</v>
      </c>
      <c r="D837" s="191" t="s">
        <v>894</v>
      </c>
      <c r="E837" s="184">
        <v>41919</v>
      </c>
      <c r="F837" s="192" t="s">
        <v>896</v>
      </c>
      <c r="G837" s="468" t="s">
        <v>326</v>
      </c>
      <c r="H837" s="7" t="s">
        <v>685</v>
      </c>
      <c r="I837" s="256"/>
      <c r="J837" s="256"/>
      <c r="K837" s="568">
        <v>26397008</v>
      </c>
      <c r="L837" s="194" t="s">
        <v>24</v>
      </c>
      <c r="M837" s="194" t="s">
        <v>253</v>
      </c>
      <c r="N837" s="52" t="str">
        <f>IF(AND('331-CT'!$E$7=TH!H837,OR(L837="331",M837="331")),"331",IF(AND(OR(L837="131",M837="131"),H837='131-CT'!$E$7),"131",""))</f>
        <v/>
      </c>
      <c r="O837" s="89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15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58"/>
        <v>10</v>
      </c>
      <c r="C838" s="191">
        <f t="shared" si="57"/>
        <v>41929</v>
      </c>
      <c r="D838" s="191" t="s">
        <v>894</v>
      </c>
      <c r="E838" s="184">
        <v>41929</v>
      </c>
      <c r="F838" s="192" t="s">
        <v>896</v>
      </c>
      <c r="G838" s="468" t="s">
        <v>326</v>
      </c>
      <c r="H838" s="7" t="s">
        <v>909</v>
      </c>
      <c r="I838" s="256"/>
      <c r="J838" s="256"/>
      <c r="K838" s="568">
        <v>10146840</v>
      </c>
      <c r="L838" s="194" t="s">
        <v>24</v>
      </c>
      <c r="M838" s="194" t="s">
        <v>253</v>
      </c>
      <c r="N838" s="52" t="str">
        <f>IF(AND('331-CT'!$E$7=TH!H838,OR(L838="331",M838="331")),"331",IF(AND(OR(L838="131",M838="131"),H838='131-CT'!$E$7),"131",""))</f>
        <v/>
      </c>
      <c r="O838" s="89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15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58"/>
        <v>10</v>
      </c>
      <c r="C839" s="191">
        <f t="shared" si="57"/>
        <v>41932</v>
      </c>
      <c r="D839" s="191" t="s">
        <v>894</v>
      </c>
      <c r="E839" s="184">
        <v>41932</v>
      </c>
      <c r="F839" s="192" t="s">
        <v>896</v>
      </c>
      <c r="G839" s="468" t="s">
        <v>326</v>
      </c>
      <c r="H839" s="7" t="s">
        <v>603</v>
      </c>
      <c r="I839" s="256"/>
      <c r="J839" s="256"/>
      <c r="K839" s="568">
        <v>60498900</v>
      </c>
      <c r="L839" s="194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15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58"/>
        <v>10</v>
      </c>
      <c r="C840" s="191">
        <f t="shared" si="57"/>
        <v>41937</v>
      </c>
      <c r="D840" s="191" t="s">
        <v>894</v>
      </c>
      <c r="E840" s="184">
        <v>41937</v>
      </c>
      <c r="F840" s="192" t="s">
        <v>897</v>
      </c>
      <c r="G840" s="468" t="s">
        <v>326</v>
      </c>
      <c r="H840" s="7"/>
      <c r="I840" s="256"/>
      <c r="J840" s="256"/>
      <c r="K840" s="568">
        <v>8969</v>
      </c>
      <c r="L840" s="194" t="s">
        <v>24</v>
      </c>
      <c r="M840" s="194" t="s">
        <v>40</v>
      </c>
      <c r="N840" s="52" t="str">
        <f>IF(AND('331-CT'!$E$7=TH!H840,OR(L840="331",M840="331")),"331",IF(AND(OR(L840="131",M840="131"),H840='131-CT'!$E$7),"131",""))</f>
        <v/>
      </c>
      <c r="O840" s="89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15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58"/>
        <v>10</v>
      </c>
      <c r="C841" s="191">
        <f t="shared" si="57"/>
        <v>41940</v>
      </c>
      <c r="D841" s="191" t="s">
        <v>894</v>
      </c>
      <c r="E841" s="184">
        <v>41940</v>
      </c>
      <c r="F841" s="192" t="s">
        <v>896</v>
      </c>
      <c r="G841" s="468" t="s">
        <v>326</v>
      </c>
      <c r="H841" s="45" t="s">
        <v>470</v>
      </c>
      <c r="I841" s="256"/>
      <c r="J841" s="256"/>
      <c r="K841" s="568">
        <v>6080690</v>
      </c>
      <c r="L841" s="194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15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58"/>
        <v>10</v>
      </c>
      <c r="C842" s="191">
        <f t="shared" si="57"/>
        <v>41916</v>
      </c>
      <c r="D842" s="191" t="s">
        <v>901</v>
      </c>
      <c r="E842" s="184">
        <v>41916</v>
      </c>
      <c r="F842" s="189" t="s">
        <v>895</v>
      </c>
      <c r="G842" s="468" t="s">
        <v>326</v>
      </c>
      <c r="H842" s="850" t="s">
        <v>1054</v>
      </c>
      <c r="I842" s="256"/>
      <c r="J842" s="256"/>
      <c r="K842" s="568">
        <v>15000000</v>
      </c>
      <c r="L842" s="194" t="s">
        <v>8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89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15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58"/>
        <v>10</v>
      </c>
      <c r="C843" s="191">
        <f t="shared" si="57"/>
        <v>41916</v>
      </c>
      <c r="D843" s="191" t="s">
        <v>901</v>
      </c>
      <c r="E843" s="184">
        <v>41916</v>
      </c>
      <c r="F843" s="189" t="s">
        <v>902</v>
      </c>
      <c r="G843" s="468" t="s">
        <v>326</v>
      </c>
      <c r="H843" s="7"/>
      <c r="I843" s="256"/>
      <c r="J843" s="256"/>
      <c r="K843" s="568">
        <v>15000</v>
      </c>
      <c r="L843" s="194" t="s">
        <v>83</v>
      </c>
      <c r="M843" s="194" t="s">
        <v>24</v>
      </c>
      <c r="N843" s="52" t="str">
        <f>IF(AND('331-CT'!$E$7=TH!H843,OR(L843="331",M843="331")),"331",IF(AND(OR(L843="131",M843="131"),H843='131-CT'!$E$7),"131",""))</f>
        <v/>
      </c>
      <c r="O843" s="89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>x</v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15"/>
    </row>
    <row r="844" spans="1:28" s="211" customFormat="1" ht="15.75" customHeight="1">
      <c r="A844" s="204" t="str">
        <f>IF(B844&lt;&gt;"",IF(AND(B844&gt;=_TM1,B844&lt;=_TM2,OR(TH!L844="1111",TH!M844="1111")),TH!D844,""),"")</f>
        <v>GBN</v>
      </c>
      <c r="B844" s="36">
        <f t="shared" si="58"/>
        <v>10</v>
      </c>
      <c r="C844" s="191">
        <f t="shared" si="57"/>
        <v>41920</v>
      </c>
      <c r="D844" s="191" t="s">
        <v>901</v>
      </c>
      <c r="E844" s="184">
        <v>41920</v>
      </c>
      <c r="F844" s="192" t="s">
        <v>898</v>
      </c>
      <c r="G844" s="468" t="s">
        <v>326</v>
      </c>
      <c r="H844" s="193" t="s">
        <v>899</v>
      </c>
      <c r="I844" s="256"/>
      <c r="J844" s="256"/>
      <c r="K844" s="568">
        <v>52500000</v>
      </c>
      <c r="L844" s="194" t="s">
        <v>47</v>
      </c>
      <c r="M844" s="194" t="s">
        <v>24</v>
      </c>
      <c r="N844" s="52" t="str">
        <f>IF(AND('331-CT'!$E$7=TH!H844,OR(L844="331",M844="331")),"331",IF(AND(OR(L844="131",M844="131"),H844='131-CT'!$E$7),"131",""))</f>
        <v/>
      </c>
      <c r="O844" s="89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15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58"/>
        <v>10</v>
      </c>
      <c r="C845" s="191">
        <f t="shared" si="57"/>
        <v>41933</v>
      </c>
      <c r="D845" s="191" t="s">
        <v>901</v>
      </c>
      <c r="E845" s="184">
        <v>41933</v>
      </c>
      <c r="F845" s="189" t="s">
        <v>895</v>
      </c>
      <c r="G845" s="468" t="s">
        <v>326</v>
      </c>
      <c r="H845" s="7" t="s">
        <v>1082</v>
      </c>
      <c r="I845" s="256"/>
      <c r="J845" s="256"/>
      <c r="K845" s="568">
        <v>10000000</v>
      </c>
      <c r="L845" s="194" t="s">
        <v>8</v>
      </c>
      <c r="M845" s="194" t="s">
        <v>24</v>
      </c>
      <c r="N845" s="52" t="str">
        <f>IF(AND('331-CT'!$E$7=TH!H845,OR(L845="331",M845="331")),"331",IF(AND(OR(L845="131",M845="131"),H845='131-CT'!$E$7),"131",""))</f>
        <v/>
      </c>
      <c r="O845" s="89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15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58"/>
        <v>10</v>
      </c>
      <c r="C846" s="191">
        <f t="shared" si="57"/>
        <v>41933</v>
      </c>
      <c r="D846" s="191" t="s">
        <v>901</v>
      </c>
      <c r="E846" s="184">
        <v>41933</v>
      </c>
      <c r="F846" s="189" t="s">
        <v>895</v>
      </c>
      <c r="G846" s="468" t="s">
        <v>326</v>
      </c>
      <c r="H846" s="7" t="s">
        <v>1078</v>
      </c>
      <c r="I846" s="256"/>
      <c r="J846" s="256"/>
      <c r="K846" s="568">
        <v>20000000</v>
      </c>
      <c r="L846" s="194" t="s">
        <v>8</v>
      </c>
      <c r="M846" s="194" t="s">
        <v>24</v>
      </c>
      <c r="N846" s="52" t="str">
        <f>IF(AND('331-CT'!$E$7=TH!H846,OR(L846="331",M846="331")),"331",IF(AND(OR(L846="131",M846="131"),H846='131-CT'!$E$7),"131",""))</f>
        <v/>
      </c>
      <c r="O846" s="89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15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58"/>
        <v>10</v>
      </c>
      <c r="C847" s="191">
        <f t="shared" si="57"/>
        <v>41933</v>
      </c>
      <c r="D847" s="191" t="s">
        <v>901</v>
      </c>
      <c r="E847" s="184">
        <v>41933</v>
      </c>
      <c r="F847" s="189" t="s">
        <v>902</v>
      </c>
      <c r="G847" s="468" t="s">
        <v>326</v>
      </c>
      <c r="H847" s="7"/>
      <c r="I847" s="256"/>
      <c r="J847" s="256"/>
      <c r="K847" s="568">
        <v>15000</v>
      </c>
      <c r="L847" s="194" t="s">
        <v>83</v>
      </c>
      <c r="M847" s="194" t="s">
        <v>24</v>
      </c>
      <c r="N847" s="52" t="str">
        <f>IF(AND('331-CT'!$E$7=TH!H847,OR(L847="331",M847="331")),"331",IF(AND(OR(L847="131",M847="131"),H847='131-CT'!$E$7),"131",""))</f>
        <v/>
      </c>
      <c r="O847" s="89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>x</v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15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58"/>
        <v>10</v>
      </c>
      <c r="C848" s="191">
        <f t="shared" si="57"/>
        <v>41933</v>
      </c>
      <c r="D848" s="191" t="s">
        <v>901</v>
      </c>
      <c r="E848" s="184">
        <v>41933</v>
      </c>
      <c r="F848" s="189" t="s">
        <v>895</v>
      </c>
      <c r="G848" s="468" t="s">
        <v>326</v>
      </c>
      <c r="H848" s="7" t="s">
        <v>1014</v>
      </c>
      <c r="I848" s="256"/>
      <c r="J848" s="256"/>
      <c r="K848" s="568">
        <v>20000000</v>
      </c>
      <c r="L848" s="194" t="s">
        <v>8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15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58"/>
        <v>10</v>
      </c>
      <c r="C849" s="191">
        <f t="shared" si="57"/>
        <v>41933</v>
      </c>
      <c r="D849" s="191" t="s">
        <v>901</v>
      </c>
      <c r="E849" s="184">
        <v>41933</v>
      </c>
      <c r="F849" s="189" t="s">
        <v>902</v>
      </c>
      <c r="G849" s="468" t="s">
        <v>326</v>
      </c>
      <c r="H849" s="7"/>
      <c r="I849" s="256"/>
      <c r="J849" s="256"/>
      <c r="K849" s="568">
        <v>15000</v>
      </c>
      <c r="L849" s="194" t="s">
        <v>83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>x</v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15"/>
    </row>
    <row r="850" spans="1:28" s="211" customFormat="1" ht="15.75" customHeight="1">
      <c r="A850" s="204" t="str">
        <f>IF(B850&lt;&gt;"",IF(AND(B850&gt;=_TM1,B850&lt;=_TM2,OR(TH!L850="1111",TH!M850="1111")),TH!D850,""),"")</f>
        <v>GBN</v>
      </c>
      <c r="B850" s="36">
        <f t="shared" si="58"/>
        <v>10</v>
      </c>
      <c r="C850" s="191">
        <f t="shared" si="57"/>
        <v>41933</v>
      </c>
      <c r="D850" s="191" t="s">
        <v>901</v>
      </c>
      <c r="E850" s="184">
        <v>41933</v>
      </c>
      <c r="F850" s="192" t="s">
        <v>898</v>
      </c>
      <c r="G850" s="468" t="s">
        <v>326</v>
      </c>
      <c r="H850" s="193" t="s">
        <v>899</v>
      </c>
      <c r="I850" s="256"/>
      <c r="J850" s="256"/>
      <c r="K850" s="568">
        <v>20700000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15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58"/>
        <v>11</v>
      </c>
      <c r="C851" s="191">
        <f t="shared" ref="C851" si="59">E851</f>
        <v>41946</v>
      </c>
      <c r="D851" s="191" t="s">
        <v>894</v>
      </c>
      <c r="E851" s="184">
        <v>41946</v>
      </c>
      <c r="F851" s="192" t="s">
        <v>896</v>
      </c>
      <c r="G851" s="468" t="s">
        <v>326</v>
      </c>
      <c r="H851" s="7" t="s">
        <v>910</v>
      </c>
      <c r="I851" s="256"/>
      <c r="J851" s="256"/>
      <c r="K851" s="568">
        <v>13109800</v>
      </c>
      <c r="L851" s="39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15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58"/>
        <v>11</v>
      </c>
      <c r="C852" s="191">
        <f t="shared" ref="C852:C864" si="60">E852</f>
        <v>41946</v>
      </c>
      <c r="D852" s="191" t="s">
        <v>894</v>
      </c>
      <c r="E852" s="184">
        <v>41946</v>
      </c>
      <c r="F852" s="192" t="s">
        <v>896</v>
      </c>
      <c r="G852" s="468" t="s">
        <v>326</v>
      </c>
      <c r="H852" s="44" t="s">
        <v>583</v>
      </c>
      <c r="I852" s="256"/>
      <c r="J852" s="256"/>
      <c r="K852" s="568">
        <v>27371135</v>
      </c>
      <c r="L852" s="39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15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58"/>
        <v>11</v>
      </c>
      <c r="C853" s="191">
        <f t="shared" si="60"/>
        <v>41947</v>
      </c>
      <c r="D853" s="191" t="s">
        <v>894</v>
      </c>
      <c r="E853" s="184">
        <v>41947</v>
      </c>
      <c r="F853" s="192" t="s">
        <v>896</v>
      </c>
      <c r="G853" s="468" t="s">
        <v>326</v>
      </c>
      <c r="H853" s="7" t="s">
        <v>655</v>
      </c>
      <c r="I853" s="256"/>
      <c r="J853" s="256"/>
      <c r="K853" s="568">
        <v>33211200</v>
      </c>
      <c r="L853" s="39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15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58"/>
        <v>11</v>
      </c>
      <c r="C854" s="191">
        <f t="shared" si="60"/>
        <v>41948</v>
      </c>
      <c r="D854" s="191" t="s">
        <v>894</v>
      </c>
      <c r="E854" s="184">
        <v>41948</v>
      </c>
      <c r="F854" s="192" t="s">
        <v>896</v>
      </c>
      <c r="G854" s="468" t="s">
        <v>326</v>
      </c>
      <c r="H854" s="7" t="s">
        <v>685</v>
      </c>
      <c r="I854" s="256"/>
      <c r="J854" s="256"/>
      <c r="K854" s="568">
        <v>14537776</v>
      </c>
      <c r="L854" s="39" t="s">
        <v>24</v>
      </c>
      <c r="M854" s="194" t="s">
        <v>253</v>
      </c>
      <c r="N854" s="52" t="str">
        <f>IF(AND('331-CT'!$E$7=TH!H854,OR(L854="331",M854="331")),"331",IF(AND(OR(L854="131",M854="131"),H854='131-CT'!$E$7),"131",""))</f>
        <v/>
      </c>
      <c r="O854" s="89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15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58"/>
        <v>11</v>
      </c>
      <c r="C855" s="191">
        <f t="shared" si="60"/>
        <v>41950</v>
      </c>
      <c r="D855" s="191" t="s">
        <v>894</v>
      </c>
      <c r="E855" s="184">
        <v>41950</v>
      </c>
      <c r="F855" s="192" t="s">
        <v>896</v>
      </c>
      <c r="G855" s="468" t="s">
        <v>326</v>
      </c>
      <c r="H855" s="7" t="s">
        <v>642</v>
      </c>
      <c r="I855" s="256"/>
      <c r="J855" s="256"/>
      <c r="K855" s="568">
        <v>28910530</v>
      </c>
      <c r="L855" s="39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15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58"/>
        <v>11</v>
      </c>
      <c r="C856" s="191">
        <f t="shared" si="60"/>
        <v>41950</v>
      </c>
      <c r="D856" s="191" t="s">
        <v>894</v>
      </c>
      <c r="E856" s="184">
        <v>41950</v>
      </c>
      <c r="F856" s="192" t="s">
        <v>896</v>
      </c>
      <c r="G856" s="468" t="s">
        <v>326</v>
      </c>
      <c r="H856" s="7" t="s">
        <v>908</v>
      </c>
      <c r="I856" s="256"/>
      <c r="J856" s="256"/>
      <c r="K856" s="568">
        <v>11322850</v>
      </c>
      <c r="L856" s="39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15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58"/>
        <v>11</v>
      </c>
      <c r="C857" s="191">
        <f t="shared" si="60"/>
        <v>41954</v>
      </c>
      <c r="D857" s="191" t="s">
        <v>894</v>
      </c>
      <c r="E857" s="184">
        <v>41954</v>
      </c>
      <c r="F857" s="192" t="s">
        <v>896</v>
      </c>
      <c r="G857" s="468" t="s">
        <v>326</v>
      </c>
      <c r="H857" s="7" t="s">
        <v>603</v>
      </c>
      <c r="I857" s="256"/>
      <c r="J857" s="256"/>
      <c r="K857" s="568">
        <v>30000000</v>
      </c>
      <c r="L857" s="39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15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58"/>
        <v>11</v>
      </c>
      <c r="C858" s="191">
        <f t="shared" si="60"/>
        <v>41956</v>
      </c>
      <c r="D858" s="191" t="s">
        <v>894</v>
      </c>
      <c r="E858" s="184">
        <v>41956</v>
      </c>
      <c r="F858" s="192" t="s">
        <v>896</v>
      </c>
      <c r="G858" s="468" t="s">
        <v>326</v>
      </c>
      <c r="H858" s="7" t="s">
        <v>910</v>
      </c>
      <c r="I858" s="256"/>
      <c r="J858" s="256"/>
      <c r="K858" s="568">
        <v>26336200</v>
      </c>
      <c r="L858" s="39" t="s">
        <v>24</v>
      </c>
      <c r="M858" s="194" t="s">
        <v>253</v>
      </c>
      <c r="N858" s="52" t="str">
        <f>IF(AND('331-CT'!$E$7=TH!H858,OR(L858="331",M858="331")),"331",IF(AND(OR(L858="131",M858="131"),H858='131-CT'!$E$7),"131",""))</f>
        <v/>
      </c>
      <c r="O858" s="89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15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58"/>
        <v>11</v>
      </c>
      <c r="C859" s="191">
        <f t="shared" si="60"/>
        <v>41961</v>
      </c>
      <c r="D859" s="191" t="s">
        <v>894</v>
      </c>
      <c r="E859" s="184">
        <v>41961</v>
      </c>
      <c r="F859" s="192" t="s">
        <v>896</v>
      </c>
      <c r="G859" s="468" t="s">
        <v>326</v>
      </c>
      <c r="H859" s="7" t="s">
        <v>909</v>
      </c>
      <c r="I859" s="256"/>
      <c r="J859" s="256"/>
      <c r="K859" s="568">
        <v>7553810</v>
      </c>
      <c r="L859" s="39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15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58"/>
        <v>11</v>
      </c>
      <c r="C860" s="191">
        <f t="shared" si="60"/>
        <v>41962</v>
      </c>
      <c r="D860" s="191" t="s">
        <v>894</v>
      </c>
      <c r="E860" s="184">
        <v>41962</v>
      </c>
      <c r="F860" s="192" t="s">
        <v>896</v>
      </c>
      <c r="G860" s="468" t="s">
        <v>326</v>
      </c>
      <c r="H860" s="7" t="s">
        <v>689</v>
      </c>
      <c r="I860" s="256"/>
      <c r="J860" s="256"/>
      <c r="K860" s="568">
        <v>17489000</v>
      </c>
      <c r="L860" s="39" t="s">
        <v>24</v>
      </c>
      <c r="M860" s="194" t="s">
        <v>253</v>
      </c>
      <c r="N860" s="52" t="str">
        <f>IF(AND('331-CT'!$E$7=TH!H860,OR(L860="331",M860="331")),"331",IF(AND(OR(L860="131",M860="131"),H860='131-CT'!$E$7),"131",""))</f>
        <v/>
      </c>
      <c r="O860" s="89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15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58"/>
        <v>11</v>
      </c>
      <c r="C861" s="191">
        <f t="shared" si="60"/>
        <v>41963</v>
      </c>
      <c r="D861" s="191" t="s">
        <v>894</v>
      </c>
      <c r="E861" s="184">
        <v>41963</v>
      </c>
      <c r="F861" s="192" t="s">
        <v>896</v>
      </c>
      <c r="G861" s="468" t="s">
        <v>326</v>
      </c>
      <c r="H861" s="44" t="s">
        <v>583</v>
      </c>
      <c r="I861" s="256"/>
      <c r="J861" s="256"/>
      <c r="K861" s="568">
        <v>32983731</v>
      </c>
      <c r="L861" s="39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15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58"/>
        <v>11</v>
      </c>
      <c r="C862" s="191">
        <f t="shared" si="60"/>
        <v>41963</v>
      </c>
      <c r="D862" s="191" t="s">
        <v>894</v>
      </c>
      <c r="E862" s="184">
        <v>41963</v>
      </c>
      <c r="F862" s="192" t="s">
        <v>896</v>
      </c>
      <c r="G862" s="468" t="s">
        <v>326</v>
      </c>
      <c r="H862" s="7" t="s">
        <v>783</v>
      </c>
      <c r="I862" s="256"/>
      <c r="J862" s="256"/>
      <c r="K862" s="568">
        <v>9475159</v>
      </c>
      <c r="L862" s="39" t="s">
        <v>24</v>
      </c>
      <c r="M862" s="194" t="s">
        <v>253</v>
      </c>
      <c r="N862" s="52" t="str">
        <f>IF(AND('331-CT'!$E$7=TH!H862,OR(L862="331",M862="331")),"331",IF(AND(OR(L862="131",M862="131"),H862='131-CT'!$E$7),"131",""))</f>
        <v/>
      </c>
      <c r="O862" s="89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15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58"/>
        <v>11</v>
      </c>
      <c r="C863" s="191">
        <f t="shared" si="60"/>
        <v>41967</v>
      </c>
      <c r="D863" s="191" t="s">
        <v>894</v>
      </c>
      <c r="E863" s="184">
        <v>41967</v>
      </c>
      <c r="F863" s="192" t="s">
        <v>896</v>
      </c>
      <c r="G863" s="468" t="s">
        <v>326</v>
      </c>
      <c r="H863" s="7" t="s">
        <v>685</v>
      </c>
      <c r="I863" s="256"/>
      <c r="J863" s="256"/>
      <c r="K863" s="568">
        <v>61091096</v>
      </c>
      <c r="L863" s="39" t="s">
        <v>24</v>
      </c>
      <c r="M863" s="194" t="s">
        <v>253</v>
      </c>
      <c r="N863" s="52" t="str">
        <f>IF(AND('331-CT'!$E$7=TH!H863,OR(L863="331",M863="331")),"331",IF(AND(OR(L863="131",M863="131"),H863='131-CT'!$E$7),"131",""))</f>
        <v/>
      </c>
      <c r="O863" s="89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15"/>
    </row>
    <row r="864" spans="1:28" s="211" customFormat="1" ht="15.75" customHeight="1">
      <c r="A864" s="204" t="str">
        <f>IF(B864&lt;&gt;"",IF(AND(B864&gt;=_TM1,B864&lt;=_TM2,OR(TH!L864="1111",TH!M864="1111")),TH!D864,""),"")</f>
        <v>GBN</v>
      </c>
      <c r="B864" s="36">
        <f t="shared" si="58"/>
        <v>11</v>
      </c>
      <c r="C864" s="191">
        <f t="shared" si="60"/>
        <v>41946</v>
      </c>
      <c r="D864" s="191" t="s">
        <v>901</v>
      </c>
      <c r="E864" s="184">
        <v>41946</v>
      </c>
      <c r="F864" s="192" t="s">
        <v>898</v>
      </c>
      <c r="G864" s="468" t="s">
        <v>326</v>
      </c>
      <c r="H864" s="193" t="s">
        <v>899</v>
      </c>
      <c r="I864" s="256"/>
      <c r="J864" s="256"/>
      <c r="K864" s="568">
        <v>4000000</v>
      </c>
      <c r="L864" s="39" t="s">
        <v>47</v>
      </c>
      <c r="M864" s="194" t="s">
        <v>24</v>
      </c>
      <c r="N864" s="52" t="str">
        <f>IF(AND('331-CT'!$E$7=TH!H864,OR(L864="331",M864="331")),"331",IF(AND(OR(L864="131",M864="131"),H864='131-CT'!$E$7),"131",""))</f>
        <v/>
      </c>
      <c r="O864" s="89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15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58"/>
        <v>11</v>
      </c>
      <c r="C865" s="191">
        <f t="shared" ref="C865:C879" si="61">E865</f>
        <v>41946</v>
      </c>
      <c r="D865" s="191" t="s">
        <v>901</v>
      </c>
      <c r="E865" s="184">
        <v>41946</v>
      </c>
      <c r="F865" s="189" t="s">
        <v>895</v>
      </c>
      <c r="G865" s="468" t="s">
        <v>326</v>
      </c>
      <c r="H865" s="850" t="s">
        <v>1014</v>
      </c>
      <c r="I865" s="256"/>
      <c r="J865" s="256"/>
      <c r="K865" s="568">
        <v>15000000</v>
      </c>
      <c r="L865" s="39" t="s">
        <v>8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15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58"/>
        <v>11</v>
      </c>
      <c r="C866" s="191">
        <f t="shared" si="61"/>
        <v>41946</v>
      </c>
      <c r="D866" s="191" t="s">
        <v>901</v>
      </c>
      <c r="E866" s="184">
        <v>41946</v>
      </c>
      <c r="F866" s="189" t="s">
        <v>902</v>
      </c>
      <c r="G866" s="468" t="s">
        <v>326</v>
      </c>
      <c r="H866" s="7"/>
      <c r="I866" s="256"/>
      <c r="J866" s="256"/>
      <c r="K866" s="568">
        <v>15000</v>
      </c>
      <c r="L866" s="39" t="s">
        <v>83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>x</v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15"/>
    </row>
    <row r="867" spans="1:28" s="211" customFormat="1" ht="15.75" customHeight="1">
      <c r="A867" s="204" t="str">
        <f>IF(B867&lt;&gt;"",IF(AND(B867&gt;=_TM1,B867&lt;=_TM2,OR(TH!L867="1111",TH!M867="1111")),TH!D867,""),"")</f>
        <v>GBN</v>
      </c>
      <c r="B867" s="36">
        <f t="shared" ref="B867:B898" si="62">IF(C867&lt;&gt;"",MONTH(C867),"")</f>
        <v>11</v>
      </c>
      <c r="C867" s="191">
        <f t="shared" si="61"/>
        <v>41949</v>
      </c>
      <c r="D867" s="191" t="s">
        <v>901</v>
      </c>
      <c r="E867" s="184">
        <v>41949</v>
      </c>
      <c r="F867" s="192" t="s">
        <v>898</v>
      </c>
      <c r="G867" s="468" t="s">
        <v>326</v>
      </c>
      <c r="H867" s="193" t="s">
        <v>899</v>
      </c>
      <c r="I867" s="256"/>
      <c r="J867" s="256"/>
      <c r="K867" s="568">
        <v>75200000</v>
      </c>
      <c r="L867" s="39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15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62"/>
        <v>11</v>
      </c>
      <c r="C868" s="191">
        <f t="shared" si="61"/>
        <v>41949</v>
      </c>
      <c r="D868" s="191" t="s">
        <v>901</v>
      </c>
      <c r="E868" s="184">
        <v>41949</v>
      </c>
      <c r="F868" s="189" t="s">
        <v>902</v>
      </c>
      <c r="G868" s="468" t="s">
        <v>326</v>
      </c>
      <c r="H868" s="7"/>
      <c r="I868" s="256"/>
      <c r="J868" s="256"/>
      <c r="K868" s="568">
        <v>45000</v>
      </c>
      <c r="L868" s="39" t="s">
        <v>83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>x</v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15"/>
    </row>
    <row r="869" spans="1:28" s="211" customFormat="1" ht="15.75" customHeight="1">
      <c r="A869" s="204" t="str">
        <f>IF(B869&lt;&gt;"",IF(AND(B869&gt;=_TM1,B869&lt;=_TM2,OR(TH!L869="1111",TH!M869="1111")),TH!D869,""),"")</f>
        <v>GBN</v>
      </c>
      <c r="B869" s="36">
        <f t="shared" si="62"/>
        <v>11</v>
      </c>
      <c r="C869" s="191">
        <f t="shared" si="61"/>
        <v>41951</v>
      </c>
      <c r="D869" s="191" t="s">
        <v>901</v>
      </c>
      <c r="E869" s="184">
        <v>41951</v>
      </c>
      <c r="F869" s="192" t="s">
        <v>898</v>
      </c>
      <c r="G869" s="468" t="s">
        <v>326</v>
      </c>
      <c r="H869" s="193" t="s">
        <v>899</v>
      </c>
      <c r="I869" s="256"/>
      <c r="J869" s="256"/>
      <c r="K869" s="568">
        <v>40300000</v>
      </c>
      <c r="L869" s="39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15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62"/>
        <v>11</v>
      </c>
      <c r="C870" s="191">
        <f t="shared" si="61"/>
        <v>41956</v>
      </c>
      <c r="D870" s="191" t="s">
        <v>901</v>
      </c>
      <c r="E870" s="184">
        <v>41956</v>
      </c>
      <c r="F870" s="189" t="s">
        <v>895</v>
      </c>
      <c r="G870" s="468" t="s">
        <v>326</v>
      </c>
      <c r="H870" s="850" t="s">
        <v>1078</v>
      </c>
      <c r="I870" s="256"/>
      <c r="J870" s="256"/>
      <c r="K870" s="568">
        <v>22000000</v>
      </c>
      <c r="L870" s="39" t="s">
        <v>8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15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62"/>
        <v>11</v>
      </c>
      <c r="C871" s="191">
        <f t="shared" si="61"/>
        <v>41956</v>
      </c>
      <c r="D871" s="191" t="s">
        <v>901</v>
      </c>
      <c r="E871" s="184">
        <v>41956</v>
      </c>
      <c r="F871" s="189" t="s">
        <v>895</v>
      </c>
      <c r="G871" s="468" t="s">
        <v>326</v>
      </c>
      <c r="H871" s="850" t="s">
        <v>1054</v>
      </c>
      <c r="I871" s="256"/>
      <c r="J871" s="256"/>
      <c r="K871" s="568">
        <v>15000000</v>
      </c>
      <c r="L871" s="39" t="s">
        <v>8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15"/>
    </row>
    <row r="872" spans="1:28" s="211" customFormat="1" ht="15.75" customHeight="1">
      <c r="A872" s="204" t="str">
        <f>IF(B872&lt;&gt;"",IF(AND(B872&gt;=_TM1,B872&lt;=_TM2,OR(TH!L872="1111",TH!M872="1111")),TH!D872,""),"")</f>
        <v>GBN</v>
      </c>
      <c r="B872" s="36">
        <f t="shared" si="62"/>
        <v>11</v>
      </c>
      <c r="C872" s="191">
        <f t="shared" si="61"/>
        <v>41956</v>
      </c>
      <c r="D872" s="191" t="s">
        <v>901</v>
      </c>
      <c r="E872" s="184">
        <v>41956</v>
      </c>
      <c r="F872" s="192" t="s">
        <v>898</v>
      </c>
      <c r="G872" s="468" t="s">
        <v>326</v>
      </c>
      <c r="H872" s="193" t="s">
        <v>899</v>
      </c>
      <c r="I872" s="256"/>
      <c r="J872" s="256"/>
      <c r="K872" s="568">
        <v>19300000</v>
      </c>
      <c r="L872" s="39" t="s">
        <v>47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15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62"/>
        <v>11</v>
      </c>
      <c r="C873" s="191">
        <f t="shared" si="61"/>
        <v>41956</v>
      </c>
      <c r="D873" s="191" t="s">
        <v>901</v>
      </c>
      <c r="E873" s="184">
        <v>41956</v>
      </c>
      <c r="F873" s="189" t="s">
        <v>902</v>
      </c>
      <c r="G873" s="468" t="s">
        <v>326</v>
      </c>
      <c r="H873" s="7"/>
      <c r="I873" s="256"/>
      <c r="J873" s="256"/>
      <c r="K873" s="568">
        <v>15000</v>
      </c>
      <c r="L873" s="39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15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62"/>
        <v>11</v>
      </c>
      <c r="C874" s="191">
        <f t="shared" si="61"/>
        <v>41956</v>
      </c>
      <c r="D874" s="191" t="s">
        <v>901</v>
      </c>
      <c r="E874" s="184">
        <v>41956</v>
      </c>
      <c r="F874" s="189" t="s">
        <v>902</v>
      </c>
      <c r="G874" s="468" t="s">
        <v>326</v>
      </c>
      <c r="H874" s="7"/>
      <c r="I874" s="256"/>
      <c r="J874" s="256"/>
      <c r="K874" s="568">
        <v>15000</v>
      </c>
      <c r="L874" s="39" t="s">
        <v>83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>x</v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15"/>
    </row>
    <row r="875" spans="1:28" s="211" customFormat="1" ht="15.75" customHeight="1">
      <c r="A875" s="204" t="str">
        <f>IF(B875&lt;&gt;"",IF(AND(B875&gt;=_TM1,B875&lt;=_TM2,OR(TH!L875="1111",TH!M875="1111")),TH!D875,""),"")</f>
        <v>GBN</v>
      </c>
      <c r="B875" s="36">
        <f t="shared" si="62"/>
        <v>11</v>
      </c>
      <c r="C875" s="191">
        <f t="shared" si="61"/>
        <v>41965</v>
      </c>
      <c r="D875" s="191" t="s">
        <v>901</v>
      </c>
      <c r="E875" s="184">
        <v>41965</v>
      </c>
      <c r="F875" s="192" t="s">
        <v>898</v>
      </c>
      <c r="G875" s="468" t="s">
        <v>326</v>
      </c>
      <c r="H875" s="193" t="s">
        <v>899</v>
      </c>
      <c r="I875" s="256"/>
      <c r="J875" s="256"/>
      <c r="K875" s="568">
        <v>22500000</v>
      </c>
      <c r="L875" s="39" t="s">
        <v>47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15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62"/>
        <v>11</v>
      </c>
      <c r="C876" s="191">
        <f t="shared" si="61"/>
        <v>41965</v>
      </c>
      <c r="D876" s="191" t="s">
        <v>901</v>
      </c>
      <c r="E876" s="184">
        <v>41965</v>
      </c>
      <c r="F876" s="189" t="s">
        <v>895</v>
      </c>
      <c r="G876" s="468" t="s">
        <v>326</v>
      </c>
      <c r="H876" s="7" t="s">
        <v>1014</v>
      </c>
      <c r="I876" s="256"/>
      <c r="J876" s="256"/>
      <c r="K876" s="568">
        <v>30000000</v>
      </c>
      <c r="L876" s="39" t="s">
        <v>8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15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62"/>
        <v>11</v>
      </c>
      <c r="C877" s="191">
        <f t="shared" si="61"/>
        <v>41965</v>
      </c>
      <c r="D877" s="191" t="s">
        <v>901</v>
      </c>
      <c r="E877" s="184">
        <v>41965</v>
      </c>
      <c r="F877" s="189" t="s">
        <v>895</v>
      </c>
      <c r="G877" s="468" t="s">
        <v>326</v>
      </c>
      <c r="H877" s="850" t="s">
        <v>1082</v>
      </c>
      <c r="I877" s="256"/>
      <c r="J877" s="256"/>
      <c r="K877" s="568">
        <v>15000000</v>
      </c>
      <c r="L877" s="39" t="s">
        <v>8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15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62"/>
        <v>11</v>
      </c>
      <c r="C878" s="191">
        <f t="shared" si="61"/>
        <v>41965</v>
      </c>
      <c r="D878" s="191" t="s">
        <v>901</v>
      </c>
      <c r="E878" s="184">
        <v>41965</v>
      </c>
      <c r="F878" s="189" t="s">
        <v>902</v>
      </c>
      <c r="G878" s="468" t="s">
        <v>326</v>
      </c>
      <c r="H878" s="7"/>
      <c r="I878" s="256"/>
      <c r="J878" s="256"/>
      <c r="K878" s="568">
        <v>15000</v>
      </c>
      <c r="L878" s="39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15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62"/>
        <v>11</v>
      </c>
      <c r="C879" s="191">
        <f t="shared" si="61"/>
        <v>41965</v>
      </c>
      <c r="D879" s="191" t="s">
        <v>901</v>
      </c>
      <c r="E879" s="184">
        <v>41965</v>
      </c>
      <c r="F879" s="189" t="s">
        <v>902</v>
      </c>
      <c r="G879" s="468" t="s">
        <v>326</v>
      </c>
      <c r="H879" s="7"/>
      <c r="I879" s="256"/>
      <c r="J879" s="256"/>
      <c r="K879" s="568">
        <v>15000</v>
      </c>
      <c r="L879" s="39" t="s">
        <v>83</v>
      </c>
      <c r="M879" s="194" t="s">
        <v>24</v>
      </c>
      <c r="N879" s="52" t="str">
        <f>IF(AND('331-CT'!$E$7=TH!H879,OR(L879="331",M879="331")),"331",IF(AND(OR(L879="131",M879="131"),H879='131-CT'!$E$7),"131",""))</f>
        <v/>
      </c>
      <c r="O879" s="89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>x</v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15"/>
    </row>
    <row r="880" spans="1:28" s="211" customFormat="1" ht="15.75" customHeight="1">
      <c r="A880" s="204" t="str">
        <f>IF(B880&lt;&gt;"",IF(AND(B880&gt;=_TM1,B880&lt;=_TM2,OR(TH!L880="1111",TH!M880="1111")),TH!D880,""),"")</f>
        <v>GBN</v>
      </c>
      <c r="B880" s="36">
        <f t="shared" si="62"/>
        <v>11</v>
      </c>
      <c r="C880" s="191">
        <f t="shared" ref="C880:C883" si="63">E880</f>
        <v>41968</v>
      </c>
      <c r="D880" s="191" t="s">
        <v>901</v>
      </c>
      <c r="E880" s="184">
        <v>41968</v>
      </c>
      <c r="F880" s="192" t="s">
        <v>898</v>
      </c>
      <c r="G880" s="468" t="s">
        <v>326</v>
      </c>
      <c r="H880" s="193" t="s">
        <v>899</v>
      </c>
      <c r="I880" s="256"/>
      <c r="J880" s="256"/>
      <c r="K880" s="568">
        <v>41000000</v>
      </c>
      <c r="L880" s="39" t="s">
        <v>47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89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15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62"/>
        <v>11</v>
      </c>
      <c r="C881" s="191">
        <f t="shared" si="63"/>
        <v>41968</v>
      </c>
      <c r="D881" s="191" t="s">
        <v>901</v>
      </c>
      <c r="E881" s="184">
        <v>41968</v>
      </c>
      <c r="F881" s="189" t="s">
        <v>895</v>
      </c>
      <c r="G881" s="468" t="s">
        <v>326</v>
      </c>
      <c r="H881" s="850" t="s">
        <v>1078</v>
      </c>
      <c r="I881" s="256"/>
      <c r="J881" s="256"/>
      <c r="K881" s="568">
        <v>20000000</v>
      </c>
      <c r="L881" s="39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9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15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62"/>
        <v>11</v>
      </c>
      <c r="C882" s="191">
        <f t="shared" si="63"/>
        <v>41968</v>
      </c>
      <c r="D882" s="191" t="s">
        <v>901</v>
      </c>
      <c r="E882" s="184">
        <v>41968</v>
      </c>
      <c r="F882" s="189" t="s">
        <v>902</v>
      </c>
      <c r="G882" s="468" t="s">
        <v>326</v>
      </c>
      <c r="H882" s="7"/>
      <c r="I882" s="256"/>
      <c r="J882" s="256"/>
      <c r="K882" s="568">
        <v>15000</v>
      </c>
      <c r="L882" s="39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9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15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62"/>
        <v>11</v>
      </c>
      <c r="C883" s="191">
        <f t="shared" si="63"/>
        <v>41968</v>
      </c>
      <c r="D883" s="191" t="s">
        <v>894</v>
      </c>
      <c r="E883" s="184">
        <v>41968</v>
      </c>
      <c r="F883" s="192" t="s">
        <v>897</v>
      </c>
      <c r="G883" s="468" t="s">
        <v>326</v>
      </c>
      <c r="H883" s="7"/>
      <c r="I883" s="256"/>
      <c r="J883" s="256"/>
      <c r="K883" s="568">
        <v>14735</v>
      </c>
      <c r="L883" s="39" t="s">
        <v>24</v>
      </c>
      <c r="M883" s="39" t="s">
        <v>40</v>
      </c>
      <c r="N883" s="52" t="str">
        <f>IF(AND('331-CT'!$E$7=TH!H883,OR(L883="331",M883="331")),"331",IF(AND(OR(L883="131",M883="131"),H883='131-CT'!$E$7),"131",""))</f>
        <v/>
      </c>
      <c r="O883" s="89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15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62"/>
        <v>11</v>
      </c>
      <c r="C884" s="191">
        <f t="shared" ref="C884:C891" si="64">E884</f>
        <v>41971</v>
      </c>
      <c r="D884" s="191" t="s">
        <v>894</v>
      </c>
      <c r="E884" s="184">
        <v>41971</v>
      </c>
      <c r="F884" s="192" t="s">
        <v>896</v>
      </c>
      <c r="G884" s="468" t="s">
        <v>326</v>
      </c>
      <c r="H884" s="7" t="s">
        <v>908</v>
      </c>
      <c r="I884" s="256"/>
      <c r="J884" s="256"/>
      <c r="K884" s="568">
        <v>14909400</v>
      </c>
      <c r="L884" s="39" t="s">
        <v>24</v>
      </c>
      <c r="M884" s="39" t="s">
        <v>253</v>
      </c>
      <c r="N884" s="52" t="str">
        <f>IF(AND('331-CT'!$E$7=TH!H884,OR(L884="331",M884="331")),"331",IF(AND(OR(L884="131",M884="131"),H884='131-CT'!$E$7),"131",""))</f>
        <v/>
      </c>
      <c r="O884" s="89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15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62"/>
        <v>12</v>
      </c>
      <c r="C885" s="191">
        <f t="shared" si="64"/>
        <v>41978</v>
      </c>
      <c r="D885" s="191" t="s">
        <v>894</v>
      </c>
      <c r="E885" s="184">
        <v>41978</v>
      </c>
      <c r="F885" s="192" t="s">
        <v>896</v>
      </c>
      <c r="G885" s="468" t="s">
        <v>326</v>
      </c>
      <c r="H885" s="44" t="s">
        <v>583</v>
      </c>
      <c r="I885" s="256"/>
      <c r="J885" s="256"/>
      <c r="K885" s="568">
        <v>52579120</v>
      </c>
      <c r="L885" s="39" t="s">
        <v>24</v>
      </c>
      <c r="M885" s="39" t="s">
        <v>253</v>
      </c>
      <c r="N885" s="52" t="str">
        <f>IF(AND('331-CT'!$E$7=TH!H885,OR(L885="331",M885="331")),"331",IF(AND(OR(L885="131",M885="131"),H885='131-CT'!$E$7),"131",""))</f>
        <v/>
      </c>
      <c r="O885" s="89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15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62"/>
        <v>12</v>
      </c>
      <c r="C886" s="191">
        <f t="shared" si="64"/>
        <v>41983</v>
      </c>
      <c r="D886" s="191" t="s">
        <v>894</v>
      </c>
      <c r="E886" s="184">
        <v>41983</v>
      </c>
      <c r="F886" s="192" t="s">
        <v>896</v>
      </c>
      <c r="G886" s="468" t="s">
        <v>326</v>
      </c>
      <c r="H886" s="7" t="s">
        <v>910</v>
      </c>
      <c r="I886" s="256"/>
      <c r="J886" s="256"/>
      <c r="K886" s="568">
        <v>7809835</v>
      </c>
      <c r="L886" s="39" t="s">
        <v>24</v>
      </c>
      <c r="M886" s="39" t="s">
        <v>253</v>
      </c>
      <c r="N886" s="52" t="str">
        <f>IF(AND('331-CT'!$E$7=TH!H886,OR(L886="331",M886="331")),"331",IF(AND(OR(L886="131",M886="131"),H886='131-CT'!$E$7),"131",""))</f>
        <v/>
      </c>
      <c r="O886" s="89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15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62"/>
        <v>12</v>
      </c>
      <c r="C887" s="191">
        <f t="shared" si="64"/>
        <v>41985</v>
      </c>
      <c r="D887" s="191" t="s">
        <v>894</v>
      </c>
      <c r="E887" s="184">
        <v>41985</v>
      </c>
      <c r="F887" s="192" t="s">
        <v>896</v>
      </c>
      <c r="G887" s="468" t="s">
        <v>326</v>
      </c>
      <c r="H887" s="7" t="s">
        <v>603</v>
      </c>
      <c r="I887" s="256"/>
      <c r="J887" s="256"/>
      <c r="K887" s="568">
        <v>30000000</v>
      </c>
      <c r="L887" s="39" t="s">
        <v>24</v>
      </c>
      <c r="M887" s="39" t="s">
        <v>253</v>
      </c>
      <c r="N887" s="52" t="str">
        <f>IF(AND('331-CT'!$E$7=TH!H887,OR(L887="331",M887="331")),"331",IF(AND(OR(L887="131",M887="131"),H887='131-CT'!$E$7),"131",""))</f>
        <v/>
      </c>
      <c r="O887" s="89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15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62"/>
        <v>12</v>
      </c>
      <c r="C888" s="191">
        <f t="shared" si="64"/>
        <v>41985</v>
      </c>
      <c r="D888" s="191" t="s">
        <v>894</v>
      </c>
      <c r="E888" s="184">
        <v>41985</v>
      </c>
      <c r="F888" s="192" t="s">
        <v>896</v>
      </c>
      <c r="G888" s="468" t="s">
        <v>326</v>
      </c>
      <c r="H888" s="44" t="s">
        <v>583</v>
      </c>
      <c r="I888" s="256"/>
      <c r="J888" s="256"/>
      <c r="K888" s="568">
        <v>25896200</v>
      </c>
      <c r="L888" s="39" t="s">
        <v>24</v>
      </c>
      <c r="M888" s="39" t="s">
        <v>253</v>
      </c>
      <c r="N888" s="52" t="str">
        <f>IF(AND('331-CT'!$E$7=TH!H888,OR(L888="331",M888="331")),"331",IF(AND(OR(L888="131",M888="131"),H888='131-CT'!$E$7),"131",""))</f>
        <v/>
      </c>
      <c r="O888" s="89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15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62"/>
        <v>12</v>
      </c>
      <c r="C889" s="191">
        <f t="shared" si="64"/>
        <v>41992</v>
      </c>
      <c r="D889" s="191" t="s">
        <v>894</v>
      </c>
      <c r="E889" s="184">
        <v>41992</v>
      </c>
      <c r="F889" s="192" t="s">
        <v>896</v>
      </c>
      <c r="G889" s="468" t="s">
        <v>326</v>
      </c>
      <c r="H889" s="7" t="s">
        <v>685</v>
      </c>
      <c r="I889" s="256"/>
      <c r="J889" s="256"/>
      <c r="K889" s="568">
        <v>3311352</v>
      </c>
      <c r="L889" s="39" t="s">
        <v>24</v>
      </c>
      <c r="M889" s="39" t="s">
        <v>253</v>
      </c>
      <c r="N889" s="52" t="str">
        <f>IF(AND('331-CT'!$E$7=TH!H889,OR(L889="331",M889="331")),"331",IF(AND(OR(L889="131",M889="131"),H889='131-CT'!$E$7),"131",""))</f>
        <v/>
      </c>
      <c r="O889" s="89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15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62"/>
        <v>12</v>
      </c>
      <c r="C890" s="191">
        <f t="shared" si="64"/>
        <v>41996</v>
      </c>
      <c r="D890" s="191" t="s">
        <v>894</v>
      </c>
      <c r="E890" s="184">
        <v>41996</v>
      </c>
      <c r="F890" s="192" t="s">
        <v>896</v>
      </c>
      <c r="G890" s="468" t="s">
        <v>326</v>
      </c>
      <c r="H890" s="7" t="s">
        <v>910</v>
      </c>
      <c r="I890" s="256"/>
      <c r="J890" s="256"/>
      <c r="K890" s="568">
        <v>13347400</v>
      </c>
      <c r="L890" s="39" t="s">
        <v>24</v>
      </c>
      <c r="M890" s="39" t="s">
        <v>253</v>
      </c>
      <c r="N890" s="52" t="str">
        <f>IF(AND('331-CT'!$E$7=TH!H890,OR(L890="331",M890="331")),"331",IF(AND(OR(L890="131",M890="131"),H890='131-CT'!$E$7),"131",""))</f>
        <v/>
      </c>
      <c r="O890" s="89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15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62"/>
        <v>12</v>
      </c>
      <c r="C891" s="191">
        <f t="shared" si="64"/>
        <v>41998</v>
      </c>
      <c r="D891" s="191" t="s">
        <v>894</v>
      </c>
      <c r="E891" s="184">
        <v>41998</v>
      </c>
      <c r="F891" s="192" t="s">
        <v>897</v>
      </c>
      <c r="G891" s="468" t="s">
        <v>326</v>
      </c>
      <c r="H891" s="7"/>
      <c r="I891" s="256"/>
      <c r="J891" s="256"/>
      <c r="K891" s="568">
        <v>5624</v>
      </c>
      <c r="L891" s="39" t="s">
        <v>24</v>
      </c>
      <c r="M891" s="39" t="s">
        <v>40</v>
      </c>
      <c r="N891" s="52" t="str">
        <f>IF(AND('331-CT'!$E$7=TH!H891,OR(L891="331",M891="331")),"331",IF(AND(OR(L891="131",M891="131"),H891='131-CT'!$E$7),"131",""))</f>
        <v/>
      </c>
      <c r="O891" s="89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15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62"/>
        <v>12</v>
      </c>
      <c r="C892" s="191">
        <f t="shared" ref="C892:C897" si="65">E892</f>
        <v>42002</v>
      </c>
      <c r="D892" s="191" t="s">
        <v>894</v>
      </c>
      <c r="E892" s="184">
        <v>42002</v>
      </c>
      <c r="F892" s="192" t="s">
        <v>896</v>
      </c>
      <c r="G892" s="468" t="s">
        <v>326</v>
      </c>
      <c r="H892" s="45" t="s">
        <v>470</v>
      </c>
      <c r="I892" s="256"/>
      <c r="J892" s="256"/>
      <c r="K892" s="568">
        <v>3932500</v>
      </c>
      <c r="L892" s="39" t="s">
        <v>24</v>
      </c>
      <c r="M892" s="39" t="s">
        <v>253</v>
      </c>
      <c r="N892" s="52" t="str">
        <f>IF(AND('331-CT'!$E$7=TH!H892,OR(L892="331",M892="331")),"331",IF(AND(OR(L892="131",M892="131"),H892='131-CT'!$E$7),"131",""))</f>
        <v/>
      </c>
      <c r="O892" s="89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15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62"/>
        <v>12</v>
      </c>
      <c r="C893" s="191">
        <f t="shared" si="65"/>
        <v>42004</v>
      </c>
      <c r="D893" s="191" t="s">
        <v>894</v>
      </c>
      <c r="E893" s="184">
        <v>42004</v>
      </c>
      <c r="F893" s="192" t="s">
        <v>896</v>
      </c>
      <c r="G893" s="468" t="s">
        <v>326</v>
      </c>
      <c r="H893" s="7" t="s">
        <v>908</v>
      </c>
      <c r="I893" s="256"/>
      <c r="J893" s="256"/>
      <c r="K893" s="568">
        <v>15585570</v>
      </c>
      <c r="L893" s="39" t="s">
        <v>24</v>
      </c>
      <c r="M893" s="39" t="s">
        <v>253</v>
      </c>
      <c r="N893" s="52" t="str">
        <f>IF(AND('331-CT'!$E$7=TH!H893,OR(L893="331",M893="331")),"331",IF(AND(OR(L893="131",M893="131"),H893='131-CT'!$E$7),"131",""))</f>
        <v/>
      </c>
      <c r="O893" s="89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15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62"/>
        <v>11</v>
      </c>
      <c r="C894" s="191">
        <f t="shared" si="65"/>
        <v>41972</v>
      </c>
      <c r="D894" s="191" t="s">
        <v>901</v>
      </c>
      <c r="E894" s="184">
        <v>41972</v>
      </c>
      <c r="F894" s="189" t="s">
        <v>895</v>
      </c>
      <c r="G894" s="468" t="s">
        <v>326</v>
      </c>
      <c r="H894" s="850" t="s">
        <v>1054</v>
      </c>
      <c r="I894" s="256"/>
      <c r="J894" s="256"/>
      <c r="K894" s="568">
        <v>15000000</v>
      </c>
      <c r="L894" s="39" t="s">
        <v>8</v>
      </c>
      <c r="M894" s="39" t="s">
        <v>24</v>
      </c>
      <c r="N894" s="52" t="str">
        <f>IF(AND('331-CT'!$E$7=TH!H894,OR(L894="331",M894="331")),"331",IF(AND(OR(L894="131",M894="131"),H894='131-CT'!$E$7),"131",""))</f>
        <v/>
      </c>
      <c r="O894" s="89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15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62"/>
        <v>11</v>
      </c>
      <c r="C895" s="191">
        <f t="shared" si="65"/>
        <v>41972</v>
      </c>
      <c r="D895" s="191" t="s">
        <v>901</v>
      </c>
      <c r="E895" s="184">
        <v>41972</v>
      </c>
      <c r="F895" s="189" t="s">
        <v>902</v>
      </c>
      <c r="G895" s="468" t="s">
        <v>326</v>
      </c>
      <c r="H895" s="7"/>
      <c r="I895" s="256"/>
      <c r="J895" s="256"/>
      <c r="K895" s="568">
        <v>15000</v>
      </c>
      <c r="L895" s="39" t="s">
        <v>83</v>
      </c>
      <c r="M895" s="39" t="s">
        <v>24</v>
      </c>
      <c r="N895" s="52" t="str">
        <f>IF(AND('331-CT'!$E$7=TH!H895,OR(L895="331",M895="331")),"331",IF(AND(OR(L895="131",M895="131"),H895='131-CT'!$E$7),"131",""))</f>
        <v/>
      </c>
      <c r="O895" s="89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>x</v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15"/>
    </row>
    <row r="896" spans="1:28" s="211" customFormat="1" ht="15.75" customHeight="1">
      <c r="A896" s="204" t="str">
        <f>IF(B896&lt;&gt;"",IF(AND(B896&gt;=_TM1,B896&lt;=_TM2,OR(TH!L896="1111",TH!M896="1111")),TH!D896,""),"")</f>
        <v>GBN</v>
      </c>
      <c r="B896" s="36">
        <f t="shared" si="62"/>
        <v>12</v>
      </c>
      <c r="C896" s="191">
        <f t="shared" si="65"/>
        <v>41981</v>
      </c>
      <c r="D896" s="191" t="s">
        <v>901</v>
      </c>
      <c r="E896" s="184">
        <v>41981</v>
      </c>
      <c r="F896" s="192" t="s">
        <v>898</v>
      </c>
      <c r="G896" s="468" t="s">
        <v>326</v>
      </c>
      <c r="H896" s="193" t="s">
        <v>899</v>
      </c>
      <c r="I896" s="256"/>
      <c r="J896" s="256"/>
      <c r="K896" s="568">
        <v>52500000</v>
      </c>
      <c r="L896" s="39" t="s">
        <v>47</v>
      </c>
      <c r="M896" s="39" t="s">
        <v>24</v>
      </c>
      <c r="N896" s="52" t="str">
        <f>IF(AND('331-CT'!$E$7=TH!H896,OR(L896="331",M896="331")),"331",IF(AND(OR(L896="131",M896="131"),H896='131-CT'!$E$7),"131",""))</f>
        <v/>
      </c>
      <c r="O896" s="89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15"/>
    </row>
    <row r="897" spans="1:29" s="211" customFormat="1" ht="15.75" customHeight="1">
      <c r="A897" s="204" t="str">
        <f>IF(B897&lt;&gt;"",IF(AND(B897&gt;=_TM1,B897&lt;=_TM2,OR(TH!L897="1111",TH!M897="1111")),TH!D897,""),"")</f>
        <v>GBN</v>
      </c>
      <c r="B897" s="36">
        <f t="shared" si="62"/>
        <v>12</v>
      </c>
      <c r="C897" s="191">
        <f t="shared" si="65"/>
        <v>41985</v>
      </c>
      <c r="D897" s="191" t="s">
        <v>901</v>
      </c>
      <c r="E897" s="184">
        <v>41985</v>
      </c>
      <c r="F897" s="192" t="s">
        <v>898</v>
      </c>
      <c r="G897" s="468" t="s">
        <v>326</v>
      </c>
      <c r="H897" s="193" t="s">
        <v>899</v>
      </c>
      <c r="I897" s="256"/>
      <c r="J897" s="256"/>
      <c r="K897" s="568">
        <v>63700000</v>
      </c>
      <c r="L897" s="39" t="s">
        <v>47</v>
      </c>
      <c r="M897" s="39" t="s">
        <v>24</v>
      </c>
      <c r="N897" s="52" t="str">
        <f>IF(AND('331-CT'!$E$7=TH!H897,OR(L897="331",M897="331")),"331",IF(AND(OR(L897="131",M897="131"),H897='131-CT'!$E$7),"131",""))</f>
        <v/>
      </c>
      <c r="O897" s="89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15"/>
    </row>
    <row r="898" spans="1:29" s="211" customFormat="1" ht="15.75" customHeight="1">
      <c r="A898" s="204" t="str">
        <f>IF(B898&lt;&gt;"",IF(AND(B898&gt;=_TM1,B898&lt;=_TM2,OR(TH!L898="1111",TH!M898="1111")),TH!D898,""),"")</f>
        <v>GBN</v>
      </c>
      <c r="B898" s="36">
        <f t="shared" si="62"/>
        <v>12</v>
      </c>
      <c r="C898" s="191">
        <f t="shared" ref="C898" si="66">E898</f>
        <v>41996</v>
      </c>
      <c r="D898" s="191" t="s">
        <v>901</v>
      </c>
      <c r="E898" s="184">
        <v>41996</v>
      </c>
      <c r="F898" s="192" t="s">
        <v>898</v>
      </c>
      <c r="G898" s="468" t="s">
        <v>326</v>
      </c>
      <c r="H898" s="193" t="s">
        <v>899</v>
      </c>
      <c r="I898" s="256"/>
      <c r="J898" s="256"/>
      <c r="K898" s="568">
        <v>16700000</v>
      </c>
      <c r="L898" s="39" t="s">
        <v>47</v>
      </c>
      <c r="M898" s="39" t="s">
        <v>24</v>
      </c>
      <c r="N898" s="52" t="str">
        <f>IF(AND('331-CT'!$E$7=TH!H898,OR(L898="331",M898="331")),"331",IF(AND(OR(L898="131",M898="131"),H898='131-CT'!$E$7),"131",""))</f>
        <v/>
      </c>
      <c r="O898" s="89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15"/>
    </row>
    <row r="899" spans="1:29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ref="B899:B971" si="67">IF(C899&lt;&gt;"",MONTH(C899),"")</f>
        <v>1</v>
      </c>
      <c r="C899" s="191">
        <f t="shared" ref="C899:C971" si="68">E899</f>
        <v>41647</v>
      </c>
      <c r="D899" s="191"/>
      <c r="E899" s="184">
        <v>41647</v>
      </c>
      <c r="F899" s="189" t="s">
        <v>993</v>
      </c>
      <c r="G899" s="468" t="s">
        <v>1004</v>
      </c>
      <c r="H899" s="7" t="s">
        <v>992</v>
      </c>
      <c r="I899" s="256"/>
      <c r="J899" s="256"/>
      <c r="K899" s="568">
        <f>234054+311298</f>
        <v>545352</v>
      </c>
      <c r="L899" s="39" t="s">
        <v>83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89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>x</v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15">
        <v>1</v>
      </c>
    </row>
    <row r="900" spans="1:29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67"/>
        <v>1</v>
      </c>
      <c r="C900" s="191">
        <f t="shared" si="68"/>
        <v>41647</v>
      </c>
      <c r="D900" s="191"/>
      <c r="E900" s="184">
        <v>41647</v>
      </c>
      <c r="F900" s="189" t="s">
        <v>994</v>
      </c>
      <c r="G900" s="468" t="s">
        <v>1004</v>
      </c>
      <c r="H900" s="7" t="s">
        <v>992</v>
      </c>
      <c r="I900" s="256"/>
      <c r="J900" s="256"/>
      <c r="K900" s="568">
        <f>23406+31129</f>
        <v>54535</v>
      </c>
      <c r="L900" s="39" t="s">
        <v>9</v>
      </c>
      <c r="M900" s="39" t="s">
        <v>47</v>
      </c>
      <c r="N900" s="52" t="str">
        <f>IF(AND('331-CT'!$E$7=TH!H900,OR(L900="331",M900="331")),"331",IF(AND(OR(L900="131",M900="131"),H900='131-CT'!$E$7),"131",""))</f>
        <v/>
      </c>
      <c r="O900" s="89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15">
        <v>1</v>
      </c>
    </row>
    <row r="901" spans="1:29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67"/>
        <v>1</v>
      </c>
      <c r="C901" s="191">
        <f t="shared" si="68"/>
        <v>41655</v>
      </c>
      <c r="D901" s="191" t="s">
        <v>1213</v>
      </c>
      <c r="E901" s="184">
        <v>41655</v>
      </c>
      <c r="F901" s="192" t="s">
        <v>999</v>
      </c>
      <c r="G901" s="468" t="s">
        <v>1005</v>
      </c>
      <c r="H901" s="7" t="s">
        <v>998</v>
      </c>
      <c r="I901" s="256">
        <v>1154</v>
      </c>
      <c r="J901" s="256">
        <v>15220</v>
      </c>
      <c r="K901" s="568">
        <f>ROUND(I901*J901,0)</f>
        <v>17563880</v>
      </c>
      <c r="L901" s="39" t="s">
        <v>159</v>
      </c>
      <c r="M901" s="39" t="s">
        <v>8</v>
      </c>
      <c r="N901" s="52" t="str">
        <f>IF(AND('331-CT'!$E$7=TH!H901,OR(L901="331",M901="331")),"331",IF(AND(OR(L901="131",M901="131"),H901='131-CT'!$E$7),"131",""))</f>
        <v/>
      </c>
      <c r="O901" s="89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15">
        <v>1</v>
      </c>
      <c r="AC901" s="211" t="str">
        <f t="shared" ref="AC901:AC906" si="69">IF(H901=VLOOKUP(H901,DSKH,1,0),"","x")</f>
        <v/>
      </c>
    </row>
    <row r="902" spans="1:29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67"/>
        <v>1</v>
      </c>
      <c r="C902" s="191">
        <f t="shared" si="68"/>
        <v>41655</v>
      </c>
      <c r="D902" s="191" t="s">
        <v>1213</v>
      </c>
      <c r="E902" s="184">
        <v>41655</v>
      </c>
      <c r="F902" s="189" t="s">
        <v>1000</v>
      </c>
      <c r="G902" s="468" t="s">
        <v>1005</v>
      </c>
      <c r="H902" s="7" t="s">
        <v>998</v>
      </c>
      <c r="I902" s="256"/>
      <c r="J902" s="256"/>
      <c r="K902" s="568">
        <v>1756388</v>
      </c>
      <c r="L902" s="39" t="s">
        <v>9</v>
      </c>
      <c r="M902" s="39" t="s">
        <v>8</v>
      </c>
      <c r="N902" s="52" t="str">
        <f>IF(AND('331-CT'!$E$7=TH!H902,OR(L902="331",M902="331")),"331",IF(AND(OR(L902="131",M902="131"),H902='131-CT'!$E$7),"131",""))</f>
        <v/>
      </c>
      <c r="O902" s="89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15">
        <v>1</v>
      </c>
      <c r="AC902" s="211" t="str">
        <f t="shared" si="69"/>
        <v/>
      </c>
    </row>
    <row r="903" spans="1:29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ref="B903" si="70">IF(C903&lt;&gt;"",MONTH(C903),"")</f>
        <v>1</v>
      </c>
      <c r="C903" s="191">
        <f t="shared" ref="C903" si="71">E903</f>
        <v>41655</v>
      </c>
      <c r="D903" s="191" t="s">
        <v>1213</v>
      </c>
      <c r="E903" s="184">
        <v>41655</v>
      </c>
      <c r="F903" s="189" t="s">
        <v>895</v>
      </c>
      <c r="G903" s="468" t="s">
        <v>1005</v>
      </c>
      <c r="H903" s="7" t="s">
        <v>998</v>
      </c>
      <c r="I903" s="256"/>
      <c r="J903" s="256"/>
      <c r="K903" s="568">
        <v>19320268</v>
      </c>
      <c r="L903" s="39" t="s">
        <v>8</v>
      </c>
      <c r="M903" s="39" t="s">
        <v>47</v>
      </c>
      <c r="N903" s="52" t="str">
        <f>IF(AND('331-CT'!$E$7=TH!H903,OR(L903="331",M903="331")),"331",IF(AND(OR(L903="131",M903="131"),H903='131-CT'!$E$7),"131",""))</f>
        <v/>
      </c>
      <c r="O903" s="89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>x</v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15"/>
      <c r="AC903" s="211" t="str">
        <f t="shared" si="69"/>
        <v/>
      </c>
    </row>
    <row r="904" spans="1:29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67"/>
        <v>1</v>
      </c>
      <c r="C904" s="191">
        <f t="shared" si="68"/>
        <v>41659</v>
      </c>
      <c r="D904" s="191" t="s">
        <v>1214</v>
      </c>
      <c r="E904" s="184">
        <v>41659</v>
      </c>
      <c r="F904" s="192" t="s">
        <v>1001</v>
      </c>
      <c r="G904" s="468" t="s">
        <v>1006</v>
      </c>
      <c r="H904" s="7" t="s">
        <v>998</v>
      </c>
      <c r="I904" s="256">
        <v>1012</v>
      </c>
      <c r="J904" s="256">
        <v>13400</v>
      </c>
      <c r="K904" s="568">
        <f>ROUND(I904*J904,0)</f>
        <v>13560800</v>
      </c>
      <c r="L904" s="39" t="s">
        <v>159</v>
      </c>
      <c r="M904" s="39" t="s">
        <v>8</v>
      </c>
      <c r="N904" s="52" t="str">
        <f>IF(AND('331-CT'!$E$7=TH!H904,OR(L904="331",M904="331")),"331",IF(AND(OR(L904="131",M904="131"),H904='131-CT'!$E$7),"131",""))</f>
        <v/>
      </c>
      <c r="O904" s="89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15">
        <v>1</v>
      </c>
      <c r="AC904" s="211" t="str">
        <f t="shared" si="69"/>
        <v/>
      </c>
    </row>
    <row r="905" spans="1:29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ref="B905" si="72">IF(C905&lt;&gt;"",MONTH(C905),"")</f>
        <v>1</v>
      </c>
      <c r="C905" s="191">
        <f t="shared" ref="C905" si="73">E905</f>
        <v>41659</v>
      </c>
      <c r="D905" s="191" t="s">
        <v>1214</v>
      </c>
      <c r="E905" s="184">
        <v>41659</v>
      </c>
      <c r="F905" s="189" t="s">
        <v>1000</v>
      </c>
      <c r="G905" s="468" t="s">
        <v>1006</v>
      </c>
      <c r="H905" s="7" t="s">
        <v>998</v>
      </c>
      <c r="I905" s="256"/>
      <c r="J905" s="256"/>
      <c r="K905" s="568">
        <v>1356080</v>
      </c>
      <c r="L905" s="39" t="s">
        <v>9</v>
      </c>
      <c r="M905" s="39" t="s">
        <v>8</v>
      </c>
      <c r="N905" s="52" t="str">
        <f>IF(AND('331-CT'!$E$7=TH!H905,OR(L905="331",M905="331")),"331",IF(AND(OR(L905="131",M905="131"),H905='131-CT'!$E$7),"131",""))</f>
        <v/>
      </c>
      <c r="O905" s="89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15">
        <v>1</v>
      </c>
      <c r="AC905" s="211" t="str">
        <f t="shared" si="69"/>
        <v/>
      </c>
    </row>
    <row r="906" spans="1:29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67"/>
        <v>1</v>
      </c>
      <c r="C906" s="191">
        <f t="shared" si="68"/>
        <v>41659</v>
      </c>
      <c r="D906" s="191" t="s">
        <v>1214</v>
      </c>
      <c r="E906" s="184">
        <v>41659</v>
      </c>
      <c r="F906" s="189" t="s">
        <v>895</v>
      </c>
      <c r="G906" s="468" t="s">
        <v>1006</v>
      </c>
      <c r="H906" s="7" t="s">
        <v>998</v>
      </c>
      <c r="I906" s="256"/>
      <c r="J906" s="256"/>
      <c r="K906" s="568">
        <v>14916880</v>
      </c>
      <c r="L906" s="39" t="s">
        <v>8</v>
      </c>
      <c r="M906" s="39" t="s">
        <v>47</v>
      </c>
      <c r="N906" s="52" t="str">
        <f>IF(AND('331-CT'!$E$7=TH!H906,OR(L906="331",M906="331")),"331",IF(AND(OR(L906="131",M906="131"),H906='131-CT'!$E$7),"131",""))</f>
        <v/>
      </c>
      <c r="O906" s="89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>x</v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15"/>
      <c r="AC906" s="211" t="str">
        <f t="shared" si="69"/>
        <v/>
      </c>
    </row>
    <row r="907" spans="1:29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67"/>
        <v>1</v>
      </c>
      <c r="C907" s="191">
        <f t="shared" si="68"/>
        <v>41660</v>
      </c>
      <c r="D907" s="191"/>
      <c r="E907" s="184">
        <v>41660</v>
      </c>
      <c r="F907" s="192" t="s">
        <v>372</v>
      </c>
      <c r="G907" s="468" t="s">
        <v>1007</v>
      </c>
      <c r="H907" s="7" t="s">
        <v>1002</v>
      </c>
      <c r="I907" s="256"/>
      <c r="J907" s="256"/>
      <c r="K907" s="568">
        <v>950000</v>
      </c>
      <c r="L907" s="39" t="s">
        <v>167</v>
      </c>
      <c r="M907" s="39" t="s">
        <v>47</v>
      </c>
      <c r="N907" s="52" t="str">
        <f>IF(AND('331-CT'!$E$7=TH!H907,OR(L907="331",M907="331")),"331",IF(AND(OR(L907="131",M907="131"),H907='131-CT'!$E$7),"131",""))</f>
        <v/>
      </c>
      <c r="O907" s="89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>x</v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15">
        <v>1</v>
      </c>
    </row>
    <row r="908" spans="1:29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67"/>
        <v>1</v>
      </c>
      <c r="C908" s="191">
        <f t="shared" si="68"/>
        <v>41660</v>
      </c>
      <c r="D908" s="191"/>
      <c r="E908" s="184">
        <v>41660</v>
      </c>
      <c r="F908" s="192" t="s">
        <v>1003</v>
      </c>
      <c r="G908" s="468" t="s">
        <v>1007</v>
      </c>
      <c r="H908" s="7" t="s">
        <v>1002</v>
      </c>
      <c r="I908" s="256"/>
      <c r="J908" s="256"/>
      <c r="K908" s="568">
        <v>95000</v>
      </c>
      <c r="L908" s="39" t="s">
        <v>9</v>
      </c>
      <c r="M908" s="39" t="s">
        <v>47</v>
      </c>
      <c r="N908" s="52" t="str">
        <f>IF(AND('331-CT'!$E$7=TH!H908,OR(L908="331",M908="331")),"331",IF(AND(OR(L908="131",M908="131"),H908='131-CT'!$E$7),"131",""))</f>
        <v/>
      </c>
      <c r="O908" s="89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>x</v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15">
        <v>1</v>
      </c>
    </row>
    <row r="909" spans="1:29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67"/>
        <v>1</v>
      </c>
      <c r="C909" s="191">
        <f t="shared" si="68"/>
        <v>41661</v>
      </c>
      <c r="D909" s="191" t="s">
        <v>1215</v>
      </c>
      <c r="E909" s="184">
        <v>41661</v>
      </c>
      <c r="F909" s="192" t="s">
        <v>1008</v>
      </c>
      <c r="G909" s="468" t="s">
        <v>1009</v>
      </c>
      <c r="H909" s="7" t="s">
        <v>998</v>
      </c>
      <c r="I909" s="256">
        <v>870</v>
      </c>
      <c r="J909" s="256">
        <v>20620</v>
      </c>
      <c r="K909" s="568">
        <f>ROUND(I909*J909,0)</f>
        <v>17939400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89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15">
        <v>1</v>
      </c>
      <c r="AC909" s="211" t="str">
        <f>IF(H909=VLOOKUP(H909,DSKH,1,0),"","x")</f>
        <v/>
      </c>
    </row>
    <row r="910" spans="1:29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67"/>
        <v>1</v>
      </c>
      <c r="C910" s="191">
        <f t="shared" si="68"/>
        <v>41661</v>
      </c>
      <c r="D910" s="191" t="s">
        <v>1215</v>
      </c>
      <c r="E910" s="184">
        <v>41661</v>
      </c>
      <c r="F910" s="189" t="s">
        <v>1000</v>
      </c>
      <c r="G910" s="468" t="s">
        <v>1009</v>
      </c>
      <c r="H910" s="7" t="s">
        <v>998</v>
      </c>
      <c r="I910" s="256"/>
      <c r="J910" s="256"/>
      <c r="K910" s="568">
        <v>1793940</v>
      </c>
      <c r="L910" s="39" t="s">
        <v>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89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15">
        <v>1</v>
      </c>
      <c r="AC910" s="211" t="str">
        <f>IF(H910=VLOOKUP(H910,DSKH,1,0),"","x")</f>
        <v/>
      </c>
    </row>
    <row r="911" spans="1:29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" si="74">IF(C911&lt;&gt;"",MONTH(C911),"")</f>
        <v>1</v>
      </c>
      <c r="C911" s="191">
        <f t="shared" ref="C911" si="75">E911</f>
        <v>41661</v>
      </c>
      <c r="D911" s="191" t="s">
        <v>1215</v>
      </c>
      <c r="E911" s="184">
        <v>41661</v>
      </c>
      <c r="F911" s="189" t="s">
        <v>895</v>
      </c>
      <c r="G911" s="468" t="s">
        <v>1009</v>
      </c>
      <c r="H911" s="7" t="s">
        <v>998</v>
      </c>
      <c r="I911" s="256"/>
      <c r="J911" s="256"/>
      <c r="K911" s="568">
        <v>19733340</v>
      </c>
      <c r="L911" s="39" t="s">
        <v>8</v>
      </c>
      <c r="M911" s="39" t="s">
        <v>47</v>
      </c>
      <c r="N911" s="52" t="str">
        <f>IF(AND('331-CT'!$E$7=TH!H911,OR(L911="331",M911="331")),"331",IF(AND(OR(L911="131",M911="131"),H911='131-CT'!$E$7),"131",""))</f>
        <v/>
      </c>
      <c r="O911" s="89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>x</v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15"/>
      <c r="AC911" s="211" t="str">
        <f>IF(H911=VLOOKUP(H911,DSKH,1,0),"","x")</f>
        <v/>
      </c>
    </row>
    <row r="912" spans="1:29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67"/>
        <v>1</v>
      </c>
      <c r="C912" s="37">
        <f t="shared" si="68"/>
        <v>41663</v>
      </c>
      <c r="D912" s="37"/>
      <c r="E912" s="37">
        <v>41663</v>
      </c>
      <c r="F912" s="189" t="s">
        <v>995</v>
      </c>
      <c r="G912" s="468" t="s">
        <v>1201</v>
      </c>
      <c r="H912" s="7" t="s">
        <v>997</v>
      </c>
      <c r="I912" s="256"/>
      <c r="J912" s="256"/>
      <c r="K912" s="568">
        <v>915306</v>
      </c>
      <c r="L912" s="39" t="s">
        <v>83</v>
      </c>
      <c r="M912" s="39" t="s">
        <v>47</v>
      </c>
      <c r="N912" s="52" t="str">
        <f>IF(AND('331-CT'!$E$7=TH!H912,OR(L912="331",M912="331")),"331",IF(AND(OR(L912="131",M912="131"),H912='131-CT'!$E$7),"131",""))</f>
        <v/>
      </c>
      <c r="O912" s="89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>x</v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>x</v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15">
        <v>2</v>
      </c>
    </row>
    <row r="913" spans="1:31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67"/>
        <v>1</v>
      </c>
      <c r="C913" s="37">
        <f t="shared" si="68"/>
        <v>41663</v>
      </c>
      <c r="D913" s="37"/>
      <c r="E913" s="37">
        <v>41663</v>
      </c>
      <c r="F913" s="189" t="s">
        <v>996</v>
      </c>
      <c r="G913" s="468" t="s">
        <v>1201</v>
      </c>
      <c r="H913" s="7" t="s">
        <v>997</v>
      </c>
      <c r="I913" s="256"/>
      <c r="J913" s="256"/>
      <c r="K913" s="568">
        <v>91531</v>
      </c>
      <c r="L913" s="843" t="s">
        <v>9</v>
      </c>
      <c r="M913" s="39" t="s">
        <v>47</v>
      </c>
      <c r="N913" s="52" t="str">
        <f>IF(AND('331-CT'!$E$7=TH!H913,OR(L913="331",M913="331")),"331",IF(AND(OR(L913="131",M913="131"),H913='131-CT'!$E$7),"131",""))</f>
        <v/>
      </c>
      <c r="O913" s="89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>x</v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15">
        <v>2</v>
      </c>
    </row>
    <row r="914" spans="1:31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67"/>
        <v>2</v>
      </c>
      <c r="C914" s="191">
        <f t="shared" si="68"/>
        <v>41688</v>
      </c>
      <c r="D914" s="191"/>
      <c r="E914" s="184">
        <v>41688</v>
      </c>
      <c r="F914" s="189" t="s">
        <v>993</v>
      </c>
      <c r="G914" s="468" t="s">
        <v>1010</v>
      </c>
      <c r="H914" s="7" t="s">
        <v>992</v>
      </c>
      <c r="I914" s="256"/>
      <c r="J914" s="256"/>
      <c r="K914" s="568">
        <f>238466+289462+315615</f>
        <v>843543</v>
      </c>
      <c r="L914" s="39" t="s">
        <v>83</v>
      </c>
      <c r="M914" s="39" t="s">
        <v>47</v>
      </c>
      <c r="N914" s="52" t="str">
        <f>IF(AND('331-CT'!$E$7=TH!H914,OR(L914="331",M914="331")),"331",IF(AND(OR(L914="131",M914="131"),H914='131-CT'!$E$7),"131",""))</f>
        <v/>
      </c>
      <c r="O914" s="89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>x</v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>x</v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15">
        <v>1</v>
      </c>
    </row>
    <row r="915" spans="1:31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67"/>
        <v>2</v>
      </c>
      <c r="C915" s="191">
        <f t="shared" si="68"/>
        <v>41688</v>
      </c>
      <c r="D915" s="191"/>
      <c r="E915" s="184">
        <v>41688</v>
      </c>
      <c r="F915" s="189" t="s">
        <v>994</v>
      </c>
      <c r="G915" s="468" t="s">
        <v>1010</v>
      </c>
      <c r="H915" s="7" t="s">
        <v>992</v>
      </c>
      <c r="I915" s="256"/>
      <c r="J915" s="256"/>
      <c r="K915" s="568">
        <f>23846+28946+31560</f>
        <v>84352</v>
      </c>
      <c r="L915" s="39" t="s">
        <v>9</v>
      </c>
      <c r="M915" s="39" t="s">
        <v>47</v>
      </c>
      <c r="N915" s="52" t="str">
        <f>IF(AND('331-CT'!$E$7=TH!H915,OR(L915="331",M915="331")),"331",IF(AND(OR(L915="131",M915="131"),H915='131-CT'!$E$7),"131",""))</f>
        <v/>
      </c>
      <c r="O915" s="89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>x</v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15">
        <v>1</v>
      </c>
    </row>
    <row r="916" spans="1:31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67"/>
        <v>2</v>
      </c>
      <c r="C916" s="191">
        <f t="shared" si="68"/>
        <v>41690</v>
      </c>
      <c r="D916" s="191"/>
      <c r="E916" s="184">
        <v>41690</v>
      </c>
      <c r="F916" s="192" t="s">
        <v>372</v>
      </c>
      <c r="G916" s="468" t="s">
        <v>519</v>
      </c>
      <c r="H916" s="7" t="s">
        <v>1002</v>
      </c>
      <c r="I916" s="256"/>
      <c r="J916" s="256"/>
      <c r="K916" s="568">
        <v>11530000</v>
      </c>
      <c r="L916" s="39" t="s">
        <v>167</v>
      </c>
      <c r="M916" s="39" t="s">
        <v>47</v>
      </c>
      <c r="N916" s="52" t="str">
        <f>IF(AND('331-CT'!$E$7=TH!H916,OR(L916="331",M916="331")),"331",IF(AND(OR(L916="131",M916="131"),H916='131-CT'!$E$7),"131",""))</f>
        <v/>
      </c>
      <c r="O916" s="89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>x</v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15">
        <v>1</v>
      </c>
    </row>
    <row r="917" spans="1:31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67"/>
        <v>2</v>
      </c>
      <c r="C917" s="191">
        <f t="shared" si="68"/>
        <v>41690</v>
      </c>
      <c r="D917" s="191"/>
      <c r="E917" s="184">
        <v>41690</v>
      </c>
      <c r="F917" s="192" t="s">
        <v>1003</v>
      </c>
      <c r="G917" s="468" t="s">
        <v>519</v>
      </c>
      <c r="H917" s="7" t="s">
        <v>1002</v>
      </c>
      <c r="I917" s="256"/>
      <c r="J917" s="256"/>
      <c r="K917" s="568">
        <v>1153000</v>
      </c>
      <c r="L917" s="39" t="s">
        <v>9</v>
      </c>
      <c r="M917" s="39" t="s">
        <v>47</v>
      </c>
      <c r="N917" s="52" t="str">
        <f>IF(AND('331-CT'!$E$7=TH!H917,OR(L917="331",M917="331")),"331",IF(AND(OR(L917="131",M917="131"),H917='131-CT'!$E$7),"131",""))</f>
        <v/>
      </c>
      <c r="O917" s="89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>x</v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15">
        <v>1</v>
      </c>
    </row>
    <row r="918" spans="1:31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ref="B918:B919" si="76">IF(C918&lt;&gt;"",MONTH(C918),"")</f>
        <v>2</v>
      </c>
      <c r="C918" s="37">
        <f t="shared" ref="C918:C919" si="77">E918</f>
        <v>41694</v>
      </c>
      <c r="D918" s="37"/>
      <c r="E918" s="191">
        <v>41694</v>
      </c>
      <c r="F918" s="189" t="s">
        <v>995</v>
      </c>
      <c r="G918" s="467" t="s">
        <v>1202</v>
      </c>
      <c r="H918" s="7" t="s">
        <v>997</v>
      </c>
      <c r="I918" s="256"/>
      <c r="J918" s="256"/>
      <c r="K918" s="568">
        <v>643948</v>
      </c>
      <c r="L918" s="39" t="s">
        <v>83</v>
      </c>
      <c r="M918" s="39" t="s">
        <v>47</v>
      </c>
      <c r="N918" s="52" t="str">
        <f>IF(AND('331-CT'!$E$7=TH!H918,OR(L918="331",M918="331")),"331",IF(AND(OR(L918="131",M918="131"),H918='131-CT'!$E$7),"131",""))</f>
        <v/>
      </c>
      <c r="O918" s="89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>x</v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>x</v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15">
        <v>2</v>
      </c>
    </row>
    <row r="919" spans="1:31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76"/>
        <v>2</v>
      </c>
      <c r="C919" s="37">
        <f t="shared" si="77"/>
        <v>41694</v>
      </c>
      <c r="D919" s="37"/>
      <c r="E919" s="191">
        <v>41694</v>
      </c>
      <c r="F919" s="189" t="s">
        <v>996</v>
      </c>
      <c r="G919" s="467" t="s">
        <v>1202</v>
      </c>
      <c r="H919" s="7" t="s">
        <v>997</v>
      </c>
      <c r="I919" s="256"/>
      <c r="J919" s="256"/>
      <c r="K919" s="568">
        <v>64395</v>
      </c>
      <c r="L919" s="39" t="s">
        <v>9</v>
      </c>
      <c r="M919" s="39" t="s">
        <v>47</v>
      </c>
      <c r="N919" s="52" t="str">
        <f>IF(AND('331-CT'!$E$7=TH!H919,OR(L919="331",M919="331")),"331",IF(AND(OR(L919="131",M919="131"),H919='131-CT'!$E$7),"131",""))</f>
        <v/>
      </c>
      <c r="O919" s="89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>x</v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15">
        <v>2</v>
      </c>
    </row>
    <row r="920" spans="1:31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67"/>
        <v>3</v>
      </c>
      <c r="C920" s="37">
        <f t="shared" si="68"/>
        <v>41708</v>
      </c>
      <c r="D920" s="37"/>
      <c r="E920" s="191">
        <v>41708</v>
      </c>
      <c r="F920" s="189" t="s">
        <v>995</v>
      </c>
      <c r="G920" s="467" t="s">
        <v>1202</v>
      </c>
      <c r="H920" s="7" t="s">
        <v>997</v>
      </c>
      <c r="I920" s="256"/>
      <c r="J920" s="256"/>
      <c r="K920" s="568">
        <v>643948</v>
      </c>
      <c r="L920" s="39" t="s">
        <v>83</v>
      </c>
      <c r="M920" s="39" t="s">
        <v>47</v>
      </c>
      <c r="N920" s="52" t="str">
        <f>IF(AND('331-CT'!$E$7=TH!H920,OR(L920="331",M920="331")),"331",IF(AND(OR(L920="131",M920="131"),H920='131-CT'!$E$7),"131",""))</f>
        <v/>
      </c>
      <c r="O920" s="89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>x</v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>x</v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15">
        <v>1</v>
      </c>
    </row>
    <row r="921" spans="1:31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67"/>
        <v>3</v>
      </c>
      <c r="C921" s="37">
        <f t="shared" si="68"/>
        <v>41708</v>
      </c>
      <c r="D921" s="37"/>
      <c r="E921" s="191">
        <v>41708</v>
      </c>
      <c r="F921" s="189" t="s">
        <v>996</v>
      </c>
      <c r="G921" s="467" t="s">
        <v>1202</v>
      </c>
      <c r="H921" s="7" t="s">
        <v>997</v>
      </c>
      <c r="I921" s="256"/>
      <c r="J921" s="256"/>
      <c r="K921" s="568">
        <v>64395</v>
      </c>
      <c r="L921" s="39" t="s">
        <v>9</v>
      </c>
      <c r="M921" s="39" t="s">
        <v>47</v>
      </c>
      <c r="N921" s="52" t="str">
        <f>IF(AND('331-CT'!$E$7=TH!H921,OR(L921="331",M921="331")),"331",IF(AND(OR(L921="131",M921="131"),H921='131-CT'!$E$7),"131",""))</f>
        <v/>
      </c>
      <c r="O921" s="89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>x</v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15">
        <v>1</v>
      </c>
    </row>
    <row r="922" spans="1:31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67"/>
        <v>3</v>
      </c>
      <c r="C922" s="191">
        <f t="shared" si="68"/>
        <v>41708</v>
      </c>
      <c r="D922" s="184"/>
      <c r="E922" s="191">
        <v>41708</v>
      </c>
      <c r="F922" s="192" t="s">
        <v>1063</v>
      </c>
      <c r="G922" s="465" t="s">
        <v>1066</v>
      </c>
      <c r="H922" s="45" t="s">
        <v>1065</v>
      </c>
      <c r="I922" s="257"/>
      <c r="J922" s="256"/>
      <c r="K922" s="38">
        <v>1000000</v>
      </c>
      <c r="L922" s="194" t="s">
        <v>63</v>
      </c>
      <c r="M922" s="569" t="s">
        <v>47</v>
      </c>
      <c r="N922" s="52" t="str">
        <f>IF(AND('331-CT'!$E$7=TH!H922,OR(L922="331",M922="331")),"331",IF(AND(OR(L922="131",M922="131"),H922='131-CT'!$E$7),"131",""))</f>
        <v/>
      </c>
      <c r="O922" s="89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15"/>
      <c r="AC922" s="560"/>
      <c r="AD922" s="560"/>
      <c r="AE922" s="560"/>
    </row>
    <row r="923" spans="1:31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67"/>
        <v>3</v>
      </c>
      <c r="C923" s="191">
        <f t="shared" si="68"/>
        <v>41708</v>
      </c>
      <c r="D923" s="184"/>
      <c r="E923" s="191">
        <v>41708</v>
      </c>
      <c r="F923" s="192" t="s">
        <v>1064</v>
      </c>
      <c r="G923" s="465" t="s">
        <v>1066</v>
      </c>
      <c r="H923" s="45" t="s">
        <v>1065</v>
      </c>
      <c r="I923" s="257"/>
      <c r="J923" s="256"/>
      <c r="K923" s="38">
        <v>1000000</v>
      </c>
      <c r="L923" s="194" t="s">
        <v>83</v>
      </c>
      <c r="M923" s="569" t="s">
        <v>63</v>
      </c>
      <c r="N923" s="52" t="str">
        <f>IF(AND('331-CT'!$E$7=TH!H923,OR(L923="331",M923="331")),"331",IF(AND(OR(L923="131",M923="131"),H923='131-CT'!$E$7),"131",""))</f>
        <v/>
      </c>
      <c r="O923" s="89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>x</v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15"/>
      <c r="AC923" s="560"/>
      <c r="AD923" s="560"/>
      <c r="AE923" s="560"/>
    </row>
    <row r="924" spans="1:31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67"/>
        <v>3</v>
      </c>
      <c r="C924" s="191">
        <f t="shared" si="68"/>
        <v>41711</v>
      </c>
      <c r="D924" s="191"/>
      <c r="E924" s="191">
        <v>41711</v>
      </c>
      <c r="F924" s="189" t="s">
        <v>993</v>
      </c>
      <c r="G924" s="468" t="s">
        <v>1011</v>
      </c>
      <c r="H924" s="7" t="s">
        <v>992</v>
      </c>
      <c r="I924" s="256"/>
      <c r="J924" s="256"/>
      <c r="K924" s="568">
        <f>213905</f>
        <v>213905</v>
      </c>
      <c r="L924" s="39" t="s">
        <v>83</v>
      </c>
      <c r="M924" s="39" t="s">
        <v>47</v>
      </c>
      <c r="N924" s="52" t="str">
        <f>IF(AND('331-CT'!$E$7=TH!H924,OR(L924="331",M924="331")),"331",IF(AND(OR(L924="131",M924="131"),H924='131-CT'!$E$7),"131",""))</f>
        <v/>
      </c>
      <c r="O924" s="89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>x</v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>x</v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15">
        <v>1</v>
      </c>
    </row>
    <row r="925" spans="1:31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67"/>
        <v>3</v>
      </c>
      <c r="C925" s="191">
        <f t="shared" si="68"/>
        <v>41711</v>
      </c>
      <c r="D925" s="191"/>
      <c r="E925" s="191">
        <v>41711</v>
      </c>
      <c r="F925" s="189" t="s">
        <v>994</v>
      </c>
      <c r="G925" s="468" t="s">
        <v>1011</v>
      </c>
      <c r="H925" s="7" t="s">
        <v>992</v>
      </c>
      <c r="I925" s="256"/>
      <c r="J925" s="256"/>
      <c r="K925" s="568">
        <f>21390</f>
        <v>21390</v>
      </c>
      <c r="L925" s="39" t="s">
        <v>9</v>
      </c>
      <c r="M925" s="39" t="s">
        <v>47</v>
      </c>
      <c r="N925" s="52" t="str">
        <f>IF(AND('331-CT'!$E$7=TH!H925,OR(L925="331",M925="331")),"331",IF(AND(OR(L925="131",M925="131"),H925='131-CT'!$E$7),"131",""))</f>
        <v/>
      </c>
      <c r="O925" s="89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>x</v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15">
        <v>1</v>
      </c>
    </row>
    <row r="926" spans="1:31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67"/>
        <v>3</v>
      </c>
      <c r="C926" s="191">
        <f t="shared" si="68"/>
        <v>41722</v>
      </c>
      <c r="D926" s="191"/>
      <c r="E926" s="191">
        <v>41722</v>
      </c>
      <c r="F926" s="192" t="s">
        <v>372</v>
      </c>
      <c r="G926" s="468" t="s">
        <v>550</v>
      </c>
      <c r="H926" s="7" t="s">
        <v>1002</v>
      </c>
      <c r="I926" s="256"/>
      <c r="J926" s="256"/>
      <c r="K926" s="568">
        <v>3640000</v>
      </c>
      <c r="L926" s="39" t="s">
        <v>167</v>
      </c>
      <c r="M926" s="39" t="s">
        <v>47</v>
      </c>
      <c r="N926" s="52" t="str">
        <f>IF(AND('331-CT'!$E$7=TH!H926,OR(L926="331",M926="331")),"331",IF(AND(OR(L926="131",M926="131"),H926='131-CT'!$E$7),"131",""))</f>
        <v/>
      </c>
      <c r="O926" s="89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>x</v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15">
        <v>1</v>
      </c>
    </row>
    <row r="927" spans="1:31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67"/>
        <v>3</v>
      </c>
      <c r="C927" s="191">
        <f t="shared" si="68"/>
        <v>41722</v>
      </c>
      <c r="D927" s="191"/>
      <c r="E927" s="191">
        <v>41722</v>
      </c>
      <c r="F927" s="192" t="s">
        <v>1003</v>
      </c>
      <c r="G927" s="468" t="s">
        <v>550</v>
      </c>
      <c r="H927" s="7" t="s">
        <v>1002</v>
      </c>
      <c r="I927" s="256"/>
      <c r="J927" s="256"/>
      <c r="K927" s="568">
        <v>364000</v>
      </c>
      <c r="L927" s="39" t="s">
        <v>9</v>
      </c>
      <c r="M927" s="39" t="s">
        <v>47</v>
      </c>
      <c r="N927" s="52" t="str">
        <f>IF(AND('331-CT'!$E$7=TH!H927,OR(L927="331",M927="331")),"331",IF(AND(OR(L927="131",M927="131"),H927='131-CT'!$E$7),"131",""))</f>
        <v/>
      </c>
      <c r="O927" s="89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>x</v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15">
        <v>1</v>
      </c>
    </row>
    <row r="928" spans="1:31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67"/>
        <v>3</v>
      </c>
      <c r="C928" s="37">
        <f t="shared" si="68"/>
        <v>41722</v>
      </c>
      <c r="D928" s="37"/>
      <c r="E928" s="37">
        <v>41722</v>
      </c>
      <c r="F928" s="189" t="s">
        <v>995</v>
      </c>
      <c r="G928" s="467" t="s">
        <v>1203</v>
      </c>
      <c r="H928" s="7" t="s">
        <v>997</v>
      </c>
      <c r="I928" s="256"/>
      <c r="J928" s="256"/>
      <c r="K928" s="568">
        <v>833758</v>
      </c>
      <c r="L928" s="39" t="s">
        <v>83</v>
      </c>
      <c r="M928" s="39" t="s">
        <v>47</v>
      </c>
      <c r="N928" s="52" t="str">
        <f>IF(AND('331-CT'!$E$7=TH!H928,OR(L928="331",M928="331")),"331",IF(AND(OR(L928="131",M928="131"),H928='131-CT'!$E$7),"131",""))</f>
        <v/>
      </c>
      <c r="O928" s="89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>x</v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>x</v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15">
        <v>2</v>
      </c>
    </row>
    <row r="929" spans="1:29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67"/>
        <v>3</v>
      </c>
      <c r="C929" s="37">
        <f t="shared" si="68"/>
        <v>41722</v>
      </c>
      <c r="D929" s="37"/>
      <c r="E929" s="37">
        <v>41722</v>
      </c>
      <c r="F929" s="189" t="s">
        <v>996</v>
      </c>
      <c r="G929" s="467" t="s">
        <v>1203</v>
      </c>
      <c r="H929" s="7" t="s">
        <v>997</v>
      </c>
      <c r="I929" s="256"/>
      <c r="J929" s="256"/>
      <c r="K929" s="568">
        <v>83376</v>
      </c>
      <c r="L929" s="843" t="s">
        <v>9</v>
      </c>
      <c r="M929" s="39" t="s">
        <v>47</v>
      </c>
      <c r="N929" s="52" t="str">
        <f>IF(AND('331-CT'!$E$7=TH!H929,OR(L929="331",M929="331")),"331",IF(AND(OR(L929="131",M929="131"),H929='131-CT'!$E$7),"131",""))</f>
        <v/>
      </c>
      <c r="O929" s="89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>x</v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15">
        <v>2</v>
      </c>
    </row>
    <row r="930" spans="1:29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67"/>
        <v>4</v>
      </c>
      <c r="C930" s="37">
        <f t="shared" si="68"/>
        <v>41737</v>
      </c>
      <c r="D930" s="37"/>
      <c r="E930" s="37">
        <v>41737</v>
      </c>
      <c r="F930" s="192" t="s">
        <v>372</v>
      </c>
      <c r="G930" s="468" t="s">
        <v>1138</v>
      </c>
      <c r="H930" s="7" t="s">
        <v>1002</v>
      </c>
      <c r="I930" s="256"/>
      <c r="J930" s="256"/>
      <c r="K930" s="568">
        <v>4290000</v>
      </c>
      <c r="L930" s="39" t="s">
        <v>167</v>
      </c>
      <c r="M930" s="39" t="s">
        <v>47</v>
      </c>
      <c r="N930" s="52" t="str">
        <f>IF(AND('331-CT'!$E$7=TH!H930,OR(L930="331",M930="331")),"331",IF(AND(OR(L930="131",M930="131"),H930='131-CT'!$E$7),"131",""))</f>
        <v/>
      </c>
      <c r="O930" s="89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>x</v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>154</v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15">
        <v>2</v>
      </c>
    </row>
    <row r="931" spans="1:29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67"/>
        <v>4</v>
      </c>
      <c r="C931" s="37">
        <f t="shared" si="68"/>
        <v>41737</v>
      </c>
      <c r="D931" s="37"/>
      <c r="E931" s="37">
        <v>41737</v>
      </c>
      <c r="F931" s="192" t="s">
        <v>1003</v>
      </c>
      <c r="G931" s="468" t="s">
        <v>1138</v>
      </c>
      <c r="H931" s="7" t="s">
        <v>1002</v>
      </c>
      <c r="I931" s="256"/>
      <c r="J931" s="256"/>
      <c r="K931" s="568">
        <v>429000</v>
      </c>
      <c r="L931" s="39" t="s">
        <v>9</v>
      </c>
      <c r="M931" s="39" t="s">
        <v>47</v>
      </c>
      <c r="N931" s="52" t="str">
        <f>IF(AND('331-CT'!$E$7=TH!H931,OR(L931="331",M931="331")),"331",IF(AND(OR(L931="131",M931="131"),H931='131-CT'!$E$7),"131",""))</f>
        <v/>
      </c>
      <c r="O931" s="89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>x</v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15">
        <v>2</v>
      </c>
    </row>
    <row r="932" spans="1:29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67"/>
        <v>4</v>
      </c>
      <c r="C932" s="37">
        <f t="shared" si="68"/>
        <v>41743</v>
      </c>
      <c r="D932" s="37"/>
      <c r="E932" s="37">
        <v>41743</v>
      </c>
      <c r="F932" s="192" t="s">
        <v>372</v>
      </c>
      <c r="G932" s="468" t="s">
        <v>1139</v>
      </c>
      <c r="H932" s="7" t="s">
        <v>1002</v>
      </c>
      <c r="I932" s="256"/>
      <c r="J932" s="256"/>
      <c r="K932" s="568">
        <v>3710000</v>
      </c>
      <c r="L932" s="39" t="s">
        <v>167</v>
      </c>
      <c r="M932" s="39" t="s">
        <v>47</v>
      </c>
      <c r="N932" s="52" t="str">
        <f>IF(AND('331-CT'!$E$7=TH!H932,OR(L932="331",M932="331")),"331",IF(AND(OR(L932="131",M932="131"),H932='131-CT'!$E$7),"131",""))</f>
        <v/>
      </c>
      <c r="O932" s="89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>x</v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>154</v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15">
        <v>2</v>
      </c>
    </row>
    <row r="933" spans="1:29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67"/>
        <v>4</v>
      </c>
      <c r="C933" s="37">
        <f t="shared" si="68"/>
        <v>41743</v>
      </c>
      <c r="D933" s="37"/>
      <c r="E933" s="37">
        <v>41743</v>
      </c>
      <c r="F933" s="192" t="s">
        <v>1003</v>
      </c>
      <c r="G933" s="468" t="s">
        <v>1139</v>
      </c>
      <c r="H933" s="7" t="s">
        <v>1002</v>
      </c>
      <c r="I933" s="256"/>
      <c r="J933" s="256"/>
      <c r="K933" s="568">
        <v>371000</v>
      </c>
      <c r="L933" s="39" t="s">
        <v>9</v>
      </c>
      <c r="M933" s="39" t="s">
        <v>47</v>
      </c>
      <c r="N933" s="52" t="str">
        <f>IF(AND('331-CT'!$E$7=TH!H933,OR(L933="331",M933="331")),"331",IF(AND(OR(L933="131",M933="131"),H933='131-CT'!$E$7),"131",""))</f>
        <v/>
      </c>
      <c r="O933" s="89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>x</v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15">
        <v>2</v>
      </c>
    </row>
    <row r="934" spans="1:29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67"/>
        <v>4</v>
      </c>
      <c r="C934" s="37">
        <f t="shared" si="68"/>
        <v>41747</v>
      </c>
      <c r="D934" s="37"/>
      <c r="E934" s="37">
        <v>41747</v>
      </c>
      <c r="F934" s="189" t="s">
        <v>993</v>
      </c>
      <c r="G934" s="468" t="s">
        <v>1140</v>
      </c>
      <c r="H934" s="7" t="s">
        <v>992</v>
      </c>
      <c r="I934" s="256"/>
      <c r="J934" s="256"/>
      <c r="K934" s="568">
        <f>514209+816799+626098</f>
        <v>1957106</v>
      </c>
      <c r="L934" s="39" t="s">
        <v>83</v>
      </c>
      <c r="M934" s="39" t="s">
        <v>47</v>
      </c>
      <c r="N934" s="52" t="str">
        <f>IF(AND('331-CT'!$E$7=TH!H934,OR(L934="331",M934="331")),"331",IF(AND(OR(L934="131",M934="131"),H934='131-CT'!$E$7),"131",""))</f>
        <v/>
      </c>
      <c r="O934" s="89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>x</v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>642</v>
      </c>
      <c r="W934" s="52" t="str">
        <f>IF(OR(TH!L934=TH!$W$7,M934=TH!$W$7),"x","")</f>
        <v>x</v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15">
        <v>2</v>
      </c>
    </row>
    <row r="935" spans="1:29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67"/>
        <v>4</v>
      </c>
      <c r="C935" s="37">
        <f t="shared" si="68"/>
        <v>41747</v>
      </c>
      <c r="D935" s="184"/>
      <c r="E935" s="37">
        <v>41747</v>
      </c>
      <c r="F935" s="189" t="s">
        <v>994</v>
      </c>
      <c r="G935" s="468" t="s">
        <v>1140</v>
      </c>
      <c r="H935" s="7" t="s">
        <v>992</v>
      </c>
      <c r="I935" s="256"/>
      <c r="J935" s="256"/>
      <c r="K935" s="568">
        <f>51420+81681+62609</f>
        <v>195710</v>
      </c>
      <c r="L935" s="39" t="s">
        <v>9</v>
      </c>
      <c r="M935" s="39" t="s">
        <v>47</v>
      </c>
      <c r="N935" s="52" t="str">
        <f>IF(AND('331-CT'!$E$7=TH!H935,OR(L935="331",M935="331")),"331",IF(AND(OR(L935="131",M935="131"),H935='131-CT'!$E$7),"131",""))</f>
        <v/>
      </c>
      <c r="O935" s="89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>x</v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15">
        <v>2</v>
      </c>
    </row>
    <row r="936" spans="1:29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67"/>
        <v>4</v>
      </c>
      <c r="C936" s="37">
        <f t="shared" si="68"/>
        <v>41748</v>
      </c>
      <c r="D936" s="184"/>
      <c r="E936" s="37">
        <v>41748</v>
      </c>
      <c r="F936" s="192" t="s">
        <v>1033</v>
      </c>
      <c r="G936" s="468" t="s">
        <v>1141</v>
      </c>
      <c r="H936" s="45" t="s">
        <v>1142</v>
      </c>
      <c r="I936" s="256"/>
      <c r="J936" s="256"/>
      <c r="K936" s="38">
        <v>845909</v>
      </c>
      <c r="L936" s="39" t="s">
        <v>83</v>
      </c>
      <c r="M936" s="39" t="s">
        <v>47</v>
      </c>
      <c r="N936" s="52" t="str">
        <f>IF(AND('331-CT'!$E$7=TH!H936,OR(L936="331",M936="331")),"331",IF(AND(OR(L936="131",M936="131"),H936='131-CT'!$E$7),"131",""))</f>
        <v/>
      </c>
      <c r="O936" s="89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>x</v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>642</v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15">
        <v>2</v>
      </c>
    </row>
    <row r="937" spans="1:29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67"/>
        <v>4</v>
      </c>
      <c r="C937" s="37">
        <f t="shared" si="68"/>
        <v>41748</v>
      </c>
      <c r="D937" s="37"/>
      <c r="E937" s="37">
        <v>41748</v>
      </c>
      <c r="F937" s="296" t="s">
        <v>1034</v>
      </c>
      <c r="G937" s="468" t="s">
        <v>1141</v>
      </c>
      <c r="H937" s="45" t="s">
        <v>1142</v>
      </c>
      <c r="I937" s="256"/>
      <c r="J937" s="256"/>
      <c r="K937" s="568">
        <v>84591</v>
      </c>
      <c r="L937" s="39" t="s">
        <v>9</v>
      </c>
      <c r="M937" s="39" t="s">
        <v>47</v>
      </c>
      <c r="N937" s="52" t="str">
        <f>IF(AND('331-CT'!$E$7=TH!H937,OR(L937="331",M937="331")),"331",IF(AND(OR(L937="131",M937="131"),H937='131-CT'!$E$7),"131",""))</f>
        <v/>
      </c>
      <c r="O937" s="89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>x</v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15">
        <v>2</v>
      </c>
    </row>
    <row r="938" spans="1:29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67"/>
        <v>4</v>
      </c>
      <c r="C938" s="37">
        <f t="shared" si="68"/>
        <v>41753</v>
      </c>
      <c r="D938" s="37"/>
      <c r="E938" s="730">
        <v>41753</v>
      </c>
      <c r="F938" s="189" t="s">
        <v>995</v>
      </c>
      <c r="G938" s="468" t="s">
        <v>1143</v>
      </c>
      <c r="H938" s="7" t="s">
        <v>997</v>
      </c>
      <c r="I938" s="256"/>
      <c r="J938" s="256"/>
      <c r="K938" s="568">
        <v>1301956</v>
      </c>
      <c r="L938" s="39" t="s">
        <v>83</v>
      </c>
      <c r="M938" s="39" t="s">
        <v>47</v>
      </c>
      <c r="N938" s="52" t="str">
        <f>IF(AND('331-CT'!$E$7=TH!H938,OR(L938="331",M938="331")),"331",IF(AND(OR(L938="131",M938="131"),H938='131-CT'!$E$7),"131",""))</f>
        <v/>
      </c>
      <c r="O938" s="89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>x</v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>642</v>
      </c>
      <c r="W938" s="52" t="str">
        <f>IF(OR(TH!L938=TH!$W$7,M938=TH!$W$7),"x","")</f>
        <v>x</v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15">
        <v>2</v>
      </c>
    </row>
    <row r="939" spans="1:29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67"/>
        <v>4</v>
      </c>
      <c r="C939" s="37">
        <f t="shared" si="68"/>
        <v>41753</v>
      </c>
      <c r="D939" s="37"/>
      <c r="E939" s="730">
        <v>41753</v>
      </c>
      <c r="F939" s="189" t="s">
        <v>996</v>
      </c>
      <c r="G939" s="468" t="s">
        <v>1143</v>
      </c>
      <c r="H939" s="7" t="s">
        <v>997</v>
      </c>
      <c r="I939" s="256"/>
      <c r="J939" s="256"/>
      <c r="K939" s="568">
        <v>130196</v>
      </c>
      <c r="L939" s="39" t="s">
        <v>9</v>
      </c>
      <c r="M939" s="39" t="s">
        <v>47</v>
      </c>
      <c r="N939" s="52" t="str">
        <f>IF(AND('331-CT'!$E$7=TH!H939,OR(L939="331",M939="331")),"331",IF(AND(OR(L939="131",M939="131"),H939='131-CT'!$E$7),"131",""))</f>
        <v/>
      </c>
      <c r="O939" s="89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>x</v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15">
        <v>2</v>
      </c>
    </row>
    <row r="940" spans="1:29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67"/>
        <v>4</v>
      </c>
      <c r="C940" s="37">
        <f t="shared" si="68"/>
        <v>41755</v>
      </c>
      <c r="D940" s="191" t="s">
        <v>1213</v>
      </c>
      <c r="E940" s="730">
        <v>41755</v>
      </c>
      <c r="F940" s="189" t="s">
        <v>1146</v>
      </c>
      <c r="G940" s="467" t="s">
        <v>1145</v>
      </c>
      <c r="H940" s="7" t="s">
        <v>1144</v>
      </c>
      <c r="I940" s="256">
        <v>1665</v>
      </c>
      <c r="J940" s="256">
        <v>10701</v>
      </c>
      <c r="K940" s="568">
        <f>ROUND(I940*J940,0)</f>
        <v>17817165</v>
      </c>
      <c r="L940" s="39" t="s">
        <v>159</v>
      </c>
      <c r="M940" s="39" t="s">
        <v>8</v>
      </c>
      <c r="N940" s="52" t="str">
        <f>IF(AND('331-CT'!$E$7=TH!H940,OR(L940="331",M940="331")),"331",IF(AND(OR(L940="131",M940="131"),H940='131-CT'!$E$7),"131",""))</f>
        <v/>
      </c>
      <c r="O940" s="89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15">
        <v>2</v>
      </c>
      <c r="AC940" s="211" t="str">
        <f>IF(H940=VLOOKUP(H940,DSKH,1,0),"","x")</f>
        <v/>
      </c>
    </row>
    <row r="941" spans="1:29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ref="B941" si="78">IF(C941&lt;&gt;"",MONTH(C941),"")</f>
        <v>4</v>
      </c>
      <c r="C941" s="37">
        <f t="shared" ref="C941" si="79">E941</f>
        <v>41755</v>
      </c>
      <c r="D941" s="191" t="s">
        <v>1213</v>
      </c>
      <c r="E941" s="730">
        <v>41755</v>
      </c>
      <c r="F941" s="40" t="s">
        <v>1000</v>
      </c>
      <c r="G941" s="467" t="s">
        <v>1145</v>
      </c>
      <c r="H941" s="7" t="s">
        <v>1144</v>
      </c>
      <c r="I941" s="256"/>
      <c r="J941" s="256"/>
      <c r="K941" s="568">
        <v>1781717</v>
      </c>
      <c r="L941" s="39" t="s">
        <v>9</v>
      </c>
      <c r="M941" s="39" t="s">
        <v>8</v>
      </c>
      <c r="N941" s="52" t="str">
        <f>IF(AND('331-CT'!$E$7=TH!H941,OR(L941="331",M941="331")),"331",IF(AND(OR(L941="131",M941="131"),H941='131-CT'!$E$7),"131",""))</f>
        <v/>
      </c>
      <c r="O941" s="89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15">
        <v>2</v>
      </c>
      <c r="AC941" s="211" t="str">
        <f>IF(H941=VLOOKUP(H941,DSKH,1,0),"","x")</f>
        <v/>
      </c>
    </row>
    <row r="942" spans="1:29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67"/>
        <v>4</v>
      </c>
      <c r="C942" s="37">
        <f t="shared" si="68"/>
        <v>41755</v>
      </c>
      <c r="D942" s="191" t="s">
        <v>1213</v>
      </c>
      <c r="E942" s="730">
        <v>41755</v>
      </c>
      <c r="F942" s="189" t="s">
        <v>895</v>
      </c>
      <c r="G942" s="467" t="s">
        <v>1145</v>
      </c>
      <c r="H942" s="7" t="s">
        <v>1144</v>
      </c>
      <c r="I942" s="256"/>
      <c r="J942" s="256"/>
      <c r="K942" s="568">
        <v>19598882</v>
      </c>
      <c r="L942" s="39" t="s">
        <v>8</v>
      </c>
      <c r="M942" s="39" t="s">
        <v>47</v>
      </c>
      <c r="N942" s="52" t="str">
        <f>IF(AND('331-CT'!$E$7=TH!H942,OR(L942="331",M942="331")),"331",IF(AND(OR(L942="131",M942="131"),H942='131-CT'!$E$7),"131",""))</f>
        <v/>
      </c>
      <c r="O942" s="89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>x</v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15"/>
      <c r="AC942" s="211" t="str">
        <f>IF(H942=VLOOKUP(H942,DSKH,1,0),"","x")</f>
        <v/>
      </c>
    </row>
    <row r="943" spans="1:29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67"/>
        <v>4</v>
      </c>
      <c r="C943" s="37">
        <f t="shared" si="68"/>
        <v>41755</v>
      </c>
      <c r="D943" s="37"/>
      <c r="E943" s="37">
        <v>41755</v>
      </c>
      <c r="F943" s="40" t="s">
        <v>1195</v>
      </c>
      <c r="G943" s="467" t="s">
        <v>1197</v>
      </c>
      <c r="H943" s="7" t="s">
        <v>1194</v>
      </c>
      <c r="I943" s="256"/>
      <c r="J943" s="256"/>
      <c r="K943" s="568">
        <v>3300000</v>
      </c>
      <c r="L943" s="39" t="s">
        <v>83</v>
      </c>
      <c r="M943" s="39" t="s">
        <v>47</v>
      </c>
      <c r="N943" s="52" t="str">
        <f>IF(AND('331-CT'!$E$7=TH!H943,OR(L943="331",M943="331")),"331",IF(AND(OR(L943="131",M943="131"),H943='131-CT'!$E$7),"131",""))</f>
        <v/>
      </c>
      <c r="O943" s="89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>x</v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15">
        <v>2</v>
      </c>
    </row>
    <row r="944" spans="1:29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67"/>
        <v>4</v>
      </c>
      <c r="C944" s="37">
        <f t="shared" si="68"/>
        <v>41755</v>
      </c>
      <c r="D944" s="37"/>
      <c r="E944" s="37">
        <v>41755</v>
      </c>
      <c r="F944" s="40" t="s">
        <v>1196</v>
      </c>
      <c r="G944" s="467" t="s">
        <v>1197</v>
      </c>
      <c r="H944" s="7" t="s">
        <v>1194</v>
      </c>
      <c r="I944" s="256"/>
      <c r="J944" s="256"/>
      <c r="K944" s="568">
        <v>330000</v>
      </c>
      <c r="L944" s="39" t="s">
        <v>9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89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15">
        <v>2</v>
      </c>
    </row>
    <row r="945" spans="1:29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ref="B945" si="80">IF(C945&lt;&gt;"",MONTH(C945),"")</f>
        <v>4</v>
      </c>
      <c r="C945" s="37">
        <f t="shared" ref="C945" si="81">E945</f>
        <v>41756</v>
      </c>
      <c r="D945" s="184" t="s">
        <v>327</v>
      </c>
      <c r="E945" s="191">
        <v>41756</v>
      </c>
      <c r="F945" s="189" t="s">
        <v>1243</v>
      </c>
      <c r="G945" s="468" t="s">
        <v>1241</v>
      </c>
      <c r="H945" s="7" t="s">
        <v>1242</v>
      </c>
      <c r="I945" s="256"/>
      <c r="J945" s="256"/>
      <c r="K945" s="568">
        <v>500000000</v>
      </c>
      <c r="L945" s="569" t="s">
        <v>171</v>
      </c>
      <c r="M945" s="569" t="s">
        <v>8</v>
      </c>
      <c r="N945" s="52" t="str">
        <f>IF(AND('331-CT'!$E$7=TH!H945,OR(L945="331",M945="331")),"331",IF(AND(OR(L945="131",M945="131"),H945='131-CT'!$E$7),"131",""))</f>
        <v>331</v>
      </c>
      <c r="O945" s="89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15">
        <v>2</v>
      </c>
      <c r="AC945" s="211" t="str">
        <f t="shared" ref="AC945:AC968" si="82">IF(H945=VLOOKUP(H945,DSKH,1,0),"","x")</f>
        <v/>
      </c>
    </row>
    <row r="946" spans="1:29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67"/>
        <v>4</v>
      </c>
      <c r="C946" s="37">
        <f t="shared" si="68"/>
        <v>41758</v>
      </c>
      <c r="D946" s="191" t="s">
        <v>1214</v>
      </c>
      <c r="E946" s="730">
        <v>41758</v>
      </c>
      <c r="F946" s="189" t="s">
        <v>1147</v>
      </c>
      <c r="G946" s="467" t="s">
        <v>1148</v>
      </c>
      <c r="H946" s="7" t="s">
        <v>1144</v>
      </c>
      <c r="I946" s="256">
        <v>1150</v>
      </c>
      <c r="J946" s="256">
        <v>15616</v>
      </c>
      <c r="K946" s="568">
        <f>ROUND(I946*J946,0)</f>
        <v>17958400</v>
      </c>
      <c r="L946" s="39" t="s">
        <v>159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89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15">
        <v>2</v>
      </c>
      <c r="AC946" s="211" t="str">
        <f t="shared" si="82"/>
        <v/>
      </c>
    </row>
    <row r="947" spans="1:29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ref="B947" si="83">IF(C947&lt;&gt;"",MONTH(C947),"")</f>
        <v>4</v>
      </c>
      <c r="C947" s="37">
        <f t="shared" ref="C947" si="84">E947</f>
        <v>41758</v>
      </c>
      <c r="D947" s="191" t="s">
        <v>1214</v>
      </c>
      <c r="E947" s="730">
        <v>41758</v>
      </c>
      <c r="F947" s="40" t="s">
        <v>1000</v>
      </c>
      <c r="G947" s="467" t="s">
        <v>1148</v>
      </c>
      <c r="H947" s="7" t="s">
        <v>1144</v>
      </c>
      <c r="I947" s="256"/>
      <c r="J947" s="256"/>
      <c r="K947" s="568">
        <v>1795840</v>
      </c>
      <c r="L947" s="39" t="s">
        <v>9</v>
      </c>
      <c r="M947" s="39" t="s">
        <v>8</v>
      </c>
      <c r="N947" s="52" t="str">
        <f>IF(AND('331-CT'!$E$7=TH!H947,OR(L947="331",M947="331")),"331",IF(AND(OR(L947="131",M947="131"),H947='131-CT'!$E$7),"131",""))</f>
        <v/>
      </c>
      <c r="O947" s="89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15">
        <v>2</v>
      </c>
      <c r="AC947" s="211" t="str">
        <f t="shared" ref="AC947" si="85">IF(H947=VLOOKUP(H947,DSKH,1,0),"","x")</f>
        <v/>
      </c>
    </row>
    <row r="948" spans="1:29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67"/>
        <v>4</v>
      </c>
      <c r="C948" s="37">
        <f t="shared" si="68"/>
        <v>41758</v>
      </c>
      <c r="D948" s="191" t="s">
        <v>1214</v>
      </c>
      <c r="E948" s="730">
        <v>41758</v>
      </c>
      <c r="F948" s="189" t="s">
        <v>895</v>
      </c>
      <c r="G948" s="467" t="s">
        <v>1148</v>
      </c>
      <c r="H948" s="7" t="s">
        <v>1144</v>
      </c>
      <c r="I948" s="256"/>
      <c r="J948" s="256"/>
      <c r="K948" s="568">
        <v>19754240</v>
      </c>
      <c r="L948" s="39" t="s">
        <v>8</v>
      </c>
      <c r="M948" s="39" t="s">
        <v>47</v>
      </c>
      <c r="N948" s="52" t="str">
        <f>IF(AND('331-CT'!$E$7=TH!H948,OR(L948="331",M948="331")),"331",IF(AND(OR(L948="131",M948="131"),H948='131-CT'!$E$7),"131",""))</f>
        <v/>
      </c>
      <c r="O948" s="89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>x</v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15"/>
      <c r="AC948" s="211" t="str">
        <f>IF(H948=VLOOKUP(H948,DSKH,1,0),"","x")</f>
        <v/>
      </c>
    </row>
    <row r="949" spans="1:29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67"/>
        <v>4</v>
      </c>
      <c r="C949" s="37">
        <f t="shared" si="68"/>
        <v>41758</v>
      </c>
      <c r="D949" s="191" t="s">
        <v>1215</v>
      </c>
      <c r="E949" s="730">
        <v>41758</v>
      </c>
      <c r="F949" s="189" t="s">
        <v>1150</v>
      </c>
      <c r="G949" s="467" t="s">
        <v>1151</v>
      </c>
      <c r="H949" s="7" t="s">
        <v>1149</v>
      </c>
      <c r="I949" s="256">
        <v>4801</v>
      </c>
      <c r="J949" s="256">
        <v>9500</v>
      </c>
      <c r="K949" s="568">
        <f>ROUND(I949*J949,0)</f>
        <v>45609500</v>
      </c>
      <c r="L949" s="39" t="s">
        <v>159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89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15">
        <v>2</v>
      </c>
      <c r="AC949" s="211" t="str">
        <f t="shared" si="82"/>
        <v/>
      </c>
    </row>
    <row r="950" spans="1:29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ref="B950" si="86">IF(C950&lt;&gt;"",MONTH(C950),"")</f>
        <v>4</v>
      </c>
      <c r="C950" s="37">
        <f t="shared" ref="C950" si="87">E950</f>
        <v>41758</v>
      </c>
      <c r="D950" s="191" t="s">
        <v>1215</v>
      </c>
      <c r="E950" s="730">
        <v>41758</v>
      </c>
      <c r="F950" s="40" t="s">
        <v>1000</v>
      </c>
      <c r="G950" s="467" t="s">
        <v>1151</v>
      </c>
      <c r="H950" s="7" t="s">
        <v>1149</v>
      </c>
      <c r="I950" s="256"/>
      <c r="J950" s="256"/>
      <c r="K950" s="568">
        <v>4560950</v>
      </c>
      <c r="L950" s="39" t="s">
        <v>9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89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15">
        <v>2</v>
      </c>
      <c r="AC950" s="211" t="str">
        <f t="shared" ref="AC950" si="88">IF(H950=VLOOKUP(H950,DSKH,1,0),"","x")</f>
        <v/>
      </c>
    </row>
    <row r="951" spans="1:29" s="211" customFormat="1" ht="15.75" customHeight="1">
      <c r="A951" s="204" t="str">
        <f>IF(B951&lt;&gt;"",IF(AND(B951&gt;=_TM1,B951&lt;=_TM2,OR(TH!L951="1111",TH!M951="1111")),TH!D951,""),"")</f>
        <v>NL/N03</v>
      </c>
      <c r="B951" s="36">
        <f t="shared" si="67"/>
        <v>10</v>
      </c>
      <c r="C951" s="37">
        <f t="shared" si="68"/>
        <v>41943</v>
      </c>
      <c r="D951" s="191" t="s">
        <v>1215</v>
      </c>
      <c r="E951" s="730">
        <v>41943</v>
      </c>
      <c r="F951" s="40" t="s">
        <v>1000</v>
      </c>
      <c r="G951" s="467" t="s">
        <v>1151</v>
      </c>
      <c r="H951" s="7" t="s">
        <v>1149</v>
      </c>
      <c r="I951" s="256"/>
      <c r="J951" s="256"/>
      <c r="K951" s="568">
        <v>5170450</v>
      </c>
      <c r="L951" s="39" t="s">
        <v>8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89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15"/>
    </row>
    <row r="952" spans="1:29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67"/>
        <v>5</v>
      </c>
      <c r="C952" s="37">
        <f t="shared" si="68"/>
        <v>41761</v>
      </c>
      <c r="D952" s="184" t="s">
        <v>327</v>
      </c>
      <c r="E952" s="191">
        <v>41761</v>
      </c>
      <c r="F952" s="189" t="s">
        <v>1244</v>
      </c>
      <c r="G952" s="468" t="s">
        <v>1245</v>
      </c>
      <c r="H952" s="7" t="s">
        <v>1242</v>
      </c>
      <c r="I952" s="256"/>
      <c r="J952" s="256"/>
      <c r="K952" s="568">
        <v>500000000</v>
      </c>
      <c r="L952" s="569" t="s">
        <v>171</v>
      </c>
      <c r="M952" s="569" t="s">
        <v>8</v>
      </c>
      <c r="N952" s="52" t="str">
        <f>IF(AND('331-CT'!$E$7=TH!H952,OR(L952="331",M952="331")),"331",IF(AND(OR(L952="131",M952="131"),H952='131-CT'!$E$7),"131",""))</f>
        <v>331</v>
      </c>
      <c r="O952" s="89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15">
        <v>2</v>
      </c>
      <c r="AC952" s="211" t="str">
        <f t="shared" si="82"/>
        <v/>
      </c>
    </row>
    <row r="953" spans="1:29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67"/>
        <v>5</v>
      </c>
      <c r="C953" s="191">
        <f t="shared" si="68"/>
        <v>41761</v>
      </c>
      <c r="D953" s="191" t="s">
        <v>1216</v>
      </c>
      <c r="E953" s="184">
        <v>41761</v>
      </c>
      <c r="F953" s="192" t="s">
        <v>1072</v>
      </c>
      <c r="G953" s="468" t="s">
        <v>1070</v>
      </c>
      <c r="H953" s="7" t="s">
        <v>1144</v>
      </c>
      <c r="I953" s="708">
        <v>100</v>
      </c>
      <c r="J953" s="708">
        <v>11792</v>
      </c>
      <c r="K953" s="568">
        <f>ROUND(I953*J953,0)</f>
        <v>1179200</v>
      </c>
      <c r="L953" s="39" t="s">
        <v>159</v>
      </c>
      <c r="M953" s="39" t="s">
        <v>8</v>
      </c>
      <c r="N953" s="52" t="str">
        <f>IF(AND('331-CT'!$E$7=TH!H953,OR(L953="331",M953="331")),"331",IF(AND(OR(L953="131",M953="131"),H953='131-CT'!$E$7),"131",""))</f>
        <v/>
      </c>
      <c r="O953" s="89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15">
        <v>2</v>
      </c>
      <c r="AC953" s="211" t="str">
        <f t="shared" si="82"/>
        <v/>
      </c>
    </row>
    <row r="954" spans="1:29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67"/>
        <v>5</v>
      </c>
      <c r="C954" s="191">
        <f t="shared" si="68"/>
        <v>41761</v>
      </c>
      <c r="D954" s="191" t="s">
        <v>1216</v>
      </c>
      <c r="E954" s="184">
        <v>41761</v>
      </c>
      <c r="F954" s="192" t="s">
        <v>1073</v>
      </c>
      <c r="G954" s="468" t="s">
        <v>1070</v>
      </c>
      <c r="H954" s="7" t="s">
        <v>1144</v>
      </c>
      <c r="I954" s="756">
        <v>150</v>
      </c>
      <c r="J954" s="756">
        <v>16447</v>
      </c>
      <c r="K954" s="568">
        <f>ROUND(I954*J954,0)</f>
        <v>2467050</v>
      </c>
      <c r="L954" s="39" t="s">
        <v>159</v>
      </c>
      <c r="M954" s="39" t="s">
        <v>8</v>
      </c>
      <c r="N954" s="52" t="str">
        <f>IF(AND('331-CT'!$E$7=TH!H954,OR(L954="331",M954="331")),"331",IF(AND(OR(L954="131",M954="131"),H954='131-CT'!$E$7),"131",""))</f>
        <v/>
      </c>
      <c r="O954" s="89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15">
        <v>2</v>
      </c>
      <c r="AC954" s="211" t="str">
        <f t="shared" si="82"/>
        <v/>
      </c>
    </row>
    <row r="955" spans="1:29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67"/>
        <v>5</v>
      </c>
      <c r="C955" s="191">
        <f t="shared" si="68"/>
        <v>41761</v>
      </c>
      <c r="D955" s="191" t="s">
        <v>1216</v>
      </c>
      <c r="E955" s="184">
        <v>41761</v>
      </c>
      <c r="F955" s="192" t="s">
        <v>1074</v>
      </c>
      <c r="G955" s="468" t="s">
        <v>1070</v>
      </c>
      <c r="H955" s="7" t="s">
        <v>1144</v>
      </c>
      <c r="I955" s="256">
        <v>200</v>
      </c>
      <c r="J955" s="256">
        <v>14978</v>
      </c>
      <c r="K955" s="568">
        <f>ROUND(I955*J955,0)</f>
        <v>2995600</v>
      </c>
      <c r="L955" s="39" t="s">
        <v>159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89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15">
        <v>2</v>
      </c>
      <c r="AC955" s="211" t="str">
        <f t="shared" si="82"/>
        <v/>
      </c>
    </row>
    <row r="956" spans="1:29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67"/>
        <v>5</v>
      </c>
      <c r="C956" s="191">
        <f t="shared" si="68"/>
        <v>41761</v>
      </c>
      <c r="D956" s="191" t="s">
        <v>1216</v>
      </c>
      <c r="E956" s="184">
        <v>41761</v>
      </c>
      <c r="F956" s="192" t="s">
        <v>1075</v>
      </c>
      <c r="G956" s="468" t="s">
        <v>1070</v>
      </c>
      <c r="H956" s="7" t="s">
        <v>1144</v>
      </c>
      <c r="I956" s="256">
        <v>250</v>
      </c>
      <c r="J956" s="256">
        <v>20038</v>
      </c>
      <c r="K956" s="568">
        <f>ROUND(I956*J956,0)</f>
        <v>5009500</v>
      </c>
      <c r="L956" s="39" t="s">
        <v>159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89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15">
        <v>2</v>
      </c>
      <c r="AC956" s="211" t="str">
        <f t="shared" si="82"/>
        <v/>
      </c>
    </row>
    <row r="957" spans="1:29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67"/>
        <v>5</v>
      </c>
      <c r="C957" s="191">
        <f t="shared" si="68"/>
        <v>41761</v>
      </c>
      <c r="D957" s="191" t="s">
        <v>1216</v>
      </c>
      <c r="E957" s="184">
        <v>41761</v>
      </c>
      <c r="F957" s="192" t="s">
        <v>1076</v>
      </c>
      <c r="G957" s="468" t="s">
        <v>1070</v>
      </c>
      <c r="H957" s="7" t="s">
        <v>1144</v>
      </c>
      <c r="I957" s="256">
        <v>250</v>
      </c>
      <c r="J957" s="256">
        <v>17318</v>
      </c>
      <c r="K957" s="568">
        <f>ROUND(I957*J957,0)</f>
        <v>4329500</v>
      </c>
      <c r="L957" s="39" t="s">
        <v>159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89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15">
        <v>2</v>
      </c>
      <c r="AC957" s="211" t="str">
        <f t="shared" si="82"/>
        <v/>
      </c>
    </row>
    <row r="958" spans="1:29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ref="B958" si="89">IF(C958&lt;&gt;"",MONTH(C958),"")</f>
        <v>5</v>
      </c>
      <c r="C958" s="191">
        <f t="shared" ref="C958" si="90">E958</f>
        <v>41761</v>
      </c>
      <c r="D958" s="191" t="s">
        <v>1216</v>
      </c>
      <c r="E958" s="184">
        <v>41761</v>
      </c>
      <c r="F958" s="192" t="s">
        <v>1071</v>
      </c>
      <c r="G958" s="468" t="s">
        <v>1070</v>
      </c>
      <c r="H958" s="7" t="s">
        <v>1144</v>
      </c>
      <c r="I958" s="256"/>
      <c r="J958" s="256"/>
      <c r="K958" s="568">
        <v>1598085</v>
      </c>
      <c r="L958" s="569" t="s">
        <v>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89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15">
        <v>2</v>
      </c>
      <c r="AC958" s="211" t="str">
        <f t="shared" ref="AC958" si="91">IF(H958=VLOOKUP(H958,DSKH,1,0),"","x")</f>
        <v/>
      </c>
    </row>
    <row r="959" spans="1:29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67"/>
        <v>5</v>
      </c>
      <c r="C959" s="191">
        <f t="shared" si="68"/>
        <v>41761</v>
      </c>
      <c r="D959" s="191" t="s">
        <v>1216</v>
      </c>
      <c r="E959" s="184">
        <v>41761</v>
      </c>
      <c r="F959" s="189" t="s">
        <v>895</v>
      </c>
      <c r="G959" s="468" t="s">
        <v>1070</v>
      </c>
      <c r="H959" s="7" t="s">
        <v>1144</v>
      </c>
      <c r="I959" s="256"/>
      <c r="J959" s="256"/>
      <c r="K959" s="568">
        <v>17578935</v>
      </c>
      <c r="L959" s="39" t="s">
        <v>8</v>
      </c>
      <c r="M959" s="39" t="s">
        <v>47</v>
      </c>
      <c r="N959" s="52" t="str">
        <f>IF(AND('331-CT'!$E$7=TH!H959,OR(L959="331",M959="331")),"331",IF(AND(OR(L959="131",M959="131"),H959='131-CT'!$E$7),"131",""))</f>
        <v/>
      </c>
      <c r="O959" s="89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15"/>
      <c r="AC959" s="211" t="str">
        <f>IF(H959=VLOOKUP(H959,DSKH,1,0),"","x")</f>
        <v/>
      </c>
    </row>
    <row r="960" spans="1:29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67"/>
        <v>5</v>
      </c>
      <c r="C960" s="37">
        <f t="shared" si="68"/>
        <v>41773</v>
      </c>
      <c r="D960" s="191" t="s">
        <v>1217</v>
      </c>
      <c r="E960" s="730">
        <v>41773</v>
      </c>
      <c r="F960" s="189" t="s">
        <v>1098</v>
      </c>
      <c r="G960" s="467" t="s">
        <v>1096</v>
      </c>
      <c r="H960" s="7" t="s">
        <v>1095</v>
      </c>
      <c r="I960" s="256">
        <v>95</v>
      </c>
      <c r="J960" s="256">
        <v>21683</v>
      </c>
      <c r="K960" s="568">
        <f t="shared" ref="K960:K967" si="92">ROUND(I960*J960,0)</f>
        <v>2059885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89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15">
        <v>2</v>
      </c>
      <c r="AC960" s="211" t="str">
        <f t="shared" si="82"/>
        <v/>
      </c>
    </row>
    <row r="961" spans="1:31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67"/>
        <v>5</v>
      </c>
      <c r="C961" s="37">
        <f t="shared" si="68"/>
        <v>41773</v>
      </c>
      <c r="D961" s="191" t="s">
        <v>1217</v>
      </c>
      <c r="E961" s="730">
        <v>41773</v>
      </c>
      <c r="F961" s="189" t="s">
        <v>1099</v>
      </c>
      <c r="G961" s="467" t="s">
        <v>1096</v>
      </c>
      <c r="H961" s="7" t="s">
        <v>1095</v>
      </c>
      <c r="I961" s="256">
        <v>135</v>
      </c>
      <c r="J961" s="256">
        <v>23957</v>
      </c>
      <c r="K961" s="568">
        <f t="shared" si="92"/>
        <v>3234195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89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15">
        <v>2</v>
      </c>
      <c r="AC961" s="211" t="str">
        <f t="shared" si="82"/>
        <v/>
      </c>
    </row>
    <row r="962" spans="1:31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67"/>
        <v>5</v>
      </c>
      <c r="C962" s="37">
        <f t="shared" si="68"/>
        <v>41773</v>
      </c>
      <c r="D962" s="191" t="s">
        <v>1217</v>
      </c>
      <c r="E962" s="730">
        <v>41773</v>
      </c>
      <c r="F962" s="189" t="s">
        <v>1100</v>
      </c>
      <c r="G962" s="467" t="s">
        <v>1096</v>
      </c>
      <c r="H962" s="7" t="s">
        <v>1095</v>
      </c>
      <c r="I962" s="256">
        <v>370</v>
      </c>
      <c r="J962" s="256">
        <v>23232</v>
      </c>
      <c r="K962" s="568">
        <f t="shared" si="92"/>
        <v>8595840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89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15">
        <v>2</v>
      </c>
      <c r="AC962" s="211" t="str">
        <f t="shared" si="82"/>
        <v/>
      </c>
    </row>
    <row r="963" spans="1:31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67"/>
        <v>5</v>
      </c>
      <c r="C963" s="37">
        <f t="shared" si="68"/>
        <v>41773</v>
      </c>
      <c r="D963" s="191" t="s">
        <v>1217</v>
      </c>
      <c r="E963" s="730">
        <v>41773</v>
      </c>
      <c r="F963" s="189" t="s">
        <v>1101</v>
      </c>
      <c r="G963" s="467" t="s">
        <v>1096</v>
      </c>
      <c r="H963" s="7" t="s">
        <v>1095</v>
      </c>
      <c r="I963" s="256">
        <v>80</v>
      </c>
      <c r="J963" s="256">
        <v>22176</v>
      </c>
      <c r="K963" s="568">
        <f t="shared" si="92"/>
        <v>1774080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89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15">
        <v>2</v>
      </c>
      <c r="AC963" s="211" t="str">
        <f t="shared" si="82"/>
        <v/>
      </c>
    </row>
    <row r="964" spans="1:31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67"/>
        <v>5</v>
      </c>
      <c r="C964" s="37">
        <f t="shared" si="68"/>
        <v>41773</v>
      </c>
      <c r="D964" s="191" t="s">
        <v>1217</v>
      </c>
      <c r="E964" s="730">
        <v>41773</v>
      </c>
      <c r="F964" s="189" t="s">
        <v>1102</v>
      </c>
      <c r="G964" s="467" t="s">
        <v>1096</v>
      </c>
      <c r="H964" s="7" t="s">
        <v>1095</v>
      </c>
      <c r="I964" s="256">
        <v>415</v>
      </c>
      <c r="J964" s="256">
        <v>14784</v>
      </c>
      <c r="K964" s="568">
        <f t="shared" si="92"/>
        <v>6135360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89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15">
        <v>2</v>
      </c>
      <c r="AC964" s="211" t="str">
        <f t="shared" si="82"/>
        <v/>
      </c>
    </row>
    <row r="965" spans="1:31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67"/>
        <v>5</v>
      </c>
      <c r="C965" s="37">
        <f t="shared" si="68"/>
        <v>41773</v>
      </c>
      <c r="D965" s="191" t="s">
        <v>1217</v>
      </c>
      <c r="E965" s="730">
        <v>41773</v>
      </c>
      <c r="F965" s="189" t="s">
        <v>1103</v>
      </c>
      <c r="G965" s="467" t="s">
        <v>1096</v>
      </c>
      <c r="H965" s="7" t="s">
        <v>1095</v>
      </c>
      <c r="I965" s="256">
        <v>100</v>
      </c>
      <c r="J965" s="256">
        <v>17279</v>
      </c>
      <c r="K965" s="568">
        <f t="shared" si="92"/>
        <v>1727900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89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15">
        <v>2</v>
      </c>
      <c r="AC965" s="211" t="str">
        <f t="shared" si="82"/>
        <v/>
      </c>
    </row>
    <row r="966" spans="1:31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67"/>
        <v>5</v>
      </c>
      <c r="C966" s="37">
        <f t="shared" si="68"/>
        <v>41773</v>
      </c>
      <c r="D966" s="191" t="s">
        <v>1217</v>
      </c>
      <c r="E966" s="730">
        <v>41773</v>
      </c>
      <c r="F966" s="189" t="s">
        <v>1104</v>
      </c>
      <c r="G966" s="467" t="s">
        <v>1096</v>
      </c>
      <c r="H966" s="7" t="s">
        <v>1095</v>
      </c>
      <c r="I966" s="256">
        <v>190</v>
      </c>
      <c r="J966" s="256">
        <v>20821</v>
      </c>
      <c r="K966" s="568">
        <f t="shared" si="92"/>
        <v>3955990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89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15">
        <v>2</v>
      </c>
      <c r="AC966" s="211" t="str">
        <f t="shared" si="82"/>
        <v/>
      </c>
    </row>
    <row r="967" spans="1:31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67"/>
        <v>5</v>
      </c>
      <c r="C967" s="37">
        <f t="shared" si="68"/>
        <v>41773</v>
      </c>
      <c r="D967" s="191" t="s">
        <v>1217</v>
      </c>
      <c r="E967" s="730">
        <v>41773</v>
      </c>
      <c r="F967" s="189" t="s">
        <v>1105</v>
      </c>
      <c r="G967" s="467" t="s">
        <v>1096</v>
      </c>
      <c r="H967" s="7" t="s">
        <v>1095</v>
      </c>
      <c r="I967" s="258">
        <v>100</v>
      </c>
      <c r="J967" s="258">
        <v>20328</v>
      </c>
      <c r="K967" s="568">
        <f t="shared" si="92"/>
        <v>2032800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89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15">
        <v>2</v>
      </c>
      <c r="AC967" s="211" t="str">
        <f t="shared" si="82"/>
        <v/>
      </c>
    </row>
    <row r="968" spans="1:31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67"/>
        <v>5</v>
      </c>
      <c r="C968" s="37">
        <f t="shared" si="68"/>
        <v>41773</v>
      </c>
      <c r="D968" s="191" t="s">
        <v>1217</v>
      </c>
      <c r="E968" s="730">
        <v>41773</v>
      </c>
      <c r="F968" s="189" t="s">
        <v>1097</v>
      </c>
      <c r="G968" s="467" t="s">
        <v>1096</v>
      </c>
      <c r="H968" s="7" t="s">
        <v>1095</v>
      </c>
      <c r="I968" s="258"/>
      <c r="J968" s="258"/>
      <c r="K968" s="38">
        <v>2951605</v>
      </c>
      <c r="L968" s="39" t="s">
        <v>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89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15">
        <v>2</v>
      </c>
      <c r="AC968" s="211" t="str">
        <f t="shared" si="82"/>
        <v/>
      </c>
    </row>
    <row r="969" spans="1:31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67"/>
        <v>5</v>
      </c>
      <c r="C969" s="191">
        <f t="shared" si="68"/>
        <v>41774</v>
      </c>
      <c r="D969" s="184"/>
      <c r="E969" s="37">
        <v>41774</v>
      </c>
      <c r="F969" s="189" t="s">
        <v>1067</v>
      </c>
      <c r="G969" s="570"/>
      <c r="H969" s="45" t="s">
        <v>1065</v>
      </c>
      <c r="I969" s="256"/>
      <c r="J969" s="256"/>
      <c r="K969" s="568">
        <v>5000000</v>
      </c>
      <c r="L969" s="569" t="s">
        <v>17</v>
      </c>
      <c r="M969" s="569" t="s">
        <v>47</v>
      </c>
      <c r="N969" s="52" t="str">
        <f>IF(AND('331-CT'!$E$7=TH!H969,OR(L969="331",M969="331")),"331",IF(AND(OR(L969="131",M969="131"),H969='131-CT'!$E$7),"131",""))</f>
        <v/>
      </c>
      <c r="O969" s="89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>x</v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15"/>
      <c r="AC969" s="560"/>
      <c r="AD969" s="560"/>
      <c r="AE969" s="560"/>
    </row>
    <row r="970" spans="1:31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67"/>
        <v>5</v>
      </c>
      <c r="C970" s="37">
        <f t="shared" si="68"/>
        <v>41774</v>
      </c>
      <c r="D970" s="191" t="s">
        <v>1218</v>
      </c>
      <c r="E970" s="191">
        <v>41774</v>
      </c>
      <c r="F970" s="189" t="s">
        <v>1153</v>
      </c>
      <c r="G970" s="468" t="s">
        <v>1152</v>
      </c>
      <c r="H970" s="193" t="s">
        <v>1095</v>
      </c>
      <c r="I970" s="256">
        <v>200</v>
      </c>
      <c r="J970" s="256">
        <v>18203</v>
      </c>
      <c r="K970" s="568">
        <f t="shared" ref="K970:K975" si="93">ROUND(I970*J970,0)</f>
        <v>3640600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89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15">
        <v>2</v>
      </c>
      <c r="AC970" s="211" t="str">
        <f t="shared" ref="AC970:AC988" si="94">IF(H970=VLOOKUP(H970,DSKH,1,0),"","x")</f>
        <v/>
      </c>
    </row>
    <row r="971" spans="1:31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67"/>
        <v>5</v>
      </c>
      <c r="C971" s="37">
        <f t="shared" si="68"/>
        <v>41774</v>
      </c>
      <c r="D971" s="191" t="s">
        <v>1218</v>
      </c>
      <c r="E971" s="191">
        <v>41774</v>
      </c>
      <c r="F971" s="189" t="s">
        <v>1154</v>
      </c>
      <c r="G971" s="468" t="s">
        <v>1152</v>
      </c>
      <c r="H971" s="193" t="s">
        <v>1095</v>
      </c>
      <c r="I971" s="708">
        <v>250</v>
      </c>
      <c r="J971" s="708">
        <v>16447</v>
      </c>
      <c r="K971" s="568">
        <f t="shared" si="93"/>
        <v>4111750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89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15">
        <v>2</v>
      </c>
      <c r="AC971" s="211" t="str">
        <f t="shared" si="94"/>
        <v/>
      </c>
    </row>
    <row r="972" spans="1:31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ref="B972:B1038" si="95">IF(C972&lt;&gt;"",MONTH(C972),"")</f>
        <v>5</v>
      </c>
      <c r="C972" s="37">
        <f t="shared" ref="C972:C1038" si="96">E972</f>
        <v>41774</v>
      </c>
      <c r="D972" s="191" t="s">
        <v>1218</v>
      </c>
      <c r="E972" s="191">
        <v>41774</v>
      </c>
      <c r="F972" s="189" t="s">
        <v>1155</v>
      </c>
      <c r="G972" s="468" t="s">
        <v>1152</v>
      </c>
      <c r="H972" s="193" t="s">
        <v>1095</v>
      </c>
      <c r="I972" s="708">
        <v>300</v>
      </c>
      <c r="J972" s="708">
        <v>15893</v>
      </c>
      <c r="K972" s="568">
        <f t="shared" si="93"/>
        <v>4767900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89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15">
        <v>2</v>
      </c>
      <c r="AC972" s="211" t="str">
        <f t="shared" si="94"/>
        <v/>
      </c>
    </row>
    <row r="973" spans="1:31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5"/>
        <v>5</v>
      </c>
      <c r="C973" s="37">
        <f t="shared" si="96"/>
        <v>41774</v>
      </c>
      <c r="D973" s="191" t="s">
        <v>1218</v>
      </c>
      <c r="E973" s="191">
        <v>41774</v>
      </c>
      <c r="F973" s="189" t="s">
        <v>1156</v>
      </c>
      <c r="G973" s="468" t="s">
        <v>1152</v>
      </c>
      <c r="H973" s="193" t="s">
        <v>1095</v>
      </c>
      <c r="I973" s="708">
        <v>100</v>
      </c>
      <c r="J973" s="708">
        <v>12241</v>
      </c>
      <c r="K973" s="568">
        <f t="shared" si="93"/>
        <v>1224100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89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15">
        <v>2</v>
      </c>
      <c r="AC973" s="211" t="str">
        <f t="shared" si="94"/>
        <v/>
      </c>
    </row>
    <row r="974" spans="1:31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5"/>
        <v>5</v>
      </c>
      <c r="C974" s="37">
        <f t="shared" si="96"/>
        <v>41774</v>
      </c>
      <c r="D974" s="191" t="s">
        <v>1218</v>
      </c>
      <c r="E974" s="191">
        <v>41774</v>
      </c>
      <c r="F974" s="189" t="s">
        <v>1157</v>
      </c>
      <c r="G974" s="468" t="s">
        <v>1152</v>
      </c>
      <c r="H974" s="193" t="s">
        <v>1095</v>
      </c>
      <c r="I974" s="708">
        <v>500</v>
      </c>
      <c r="J974" s="784">
        <v>7888</v>
      </c>
      <c r="K974" s="568">
        <f t="shared" si="93"/>
        <v>3944000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89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15">
        <v>2</v>
      </c>
      <c r="AC974" s="211" t="str">
        <f t="shared" si="94"/>
        <v/>
      </c>
    </row>
    <row r="975" spans="1:31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5"/>
        <v>5</v>
      </c>
      <c r="C975" s="37">
        <f t="shared" si="96"/>
        <v>41774</v>
      </c>
      <c r="D975" s="191" t="s">
        <v>1218</v>
      </c>
      <c r="E975" s="191">
        <v>41774</v>
      </c>
      <c r="F975" s="189" t="s">
        <v>1158</v>
      </c>
      <c r="G975" s="468" t="s">
        <v>1152</v>
      </c>
      <c r="H975" s="193" t="s">
        <v>1095</v>
      </c>
      <c r="I975" s="708">
        <v>100</v>
      </c>
      <c r="J975" s="784">
        <v>9147</v>
      </c>
      <c r="K975" s="568">
        <f t="shared" si="93"/>
        <v>914700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89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15">
        <v>2</v>
      </c>
      <c r="AC975" s="211" t="str">
        <f t="shared" si="94"/>
        <v/>
      </c>
    </row>
    <row r="976" spans="1:31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5"/>
        <v>5</v>
      </c>
      <c r="C976" s="37">
        <f t="shared" si="96"/>
        <v>41774</v>
      </c>
      <c r="D976" s="191" t="s">
        <v>1218</v>
      </c>
      <c r="E976" s="191">
        <v>41774</v>
      </c>
      <c r="F976" s="40" t="s">
        <v>1000</v>
      </c>
      <c r="G976" s="468" t="s">
        <v>1152</v>
      </c>
      <c r="H976" s="193" t="s">
        <v>1095</v>
      </c>
      <c r="I976" s="708"/>
      <c r="J976" s="256"/>
      <c r="K976" s="568">
        <v>1860305</v>
      </c>
      <c r="L976" s="39" t="s">
        <v>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89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15">
        <v>2</v>
      </c>
      <c r="AC976" s="211" t="str">
        <f t="shared" si="94"/>
        <v/>
      </c>
    </row>
    <row r="977" spans="1:29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5"/>
        <v>5</v>
      </c>
      <c r="C977" s="37">
        <f t="shared" si="96"/>
        <v>41776</v>
      </c>
      <c r="D977" s="191" t="s">
        <v>1219</v>
      </c>
      <c r="E977" s="37">
        <v>41776</v>
      </c>
      <c r="F977" s="40" t="s">
        <v>1199</v>
      </c>
      <c r="G977" s="467" t="s">
        <v>1198</v>
      </c>
      <c r="H977" s="7" t="s">
        <v>1095</v>
      </c>
      <c r="I977" s="708">
        <v>500</v>
      </c>
      <c r="J977" s="708">
        <v>25186</v>
      </c>
      <c r="K977" s="568">
        <f>ROUND(I977*J977,0)</f>
        <v>12593000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89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15">
        <v>2</v>
      </c>
      <c r="AC977" s="211" t="str">
        <f t="shared" si="94"/>
        <v/>
      </c>
    </row>
    <row r="978" spans="1:29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5"/>
        <v>5</v>
      </c>
      <c r="C978" s="37">
        <f t="shared" si="96"/>
        <v>41776</v>
      </c>
      <c r="D978" s="191" t="s">
        <v>1219</v>
      </c>
      <c r="E978" s="37">
        <v>41776</v>
      </c>
      <c r="F978" s="40" t="s">
        <v>1200</v>
      </c>
      <c r="G978" s="467" t="s">
        <v>1198</v>
      </c>
      <c r="H978" s="7" t="s">
        <v>1095</v>
      </c>
      <c r="I978" s="256">
        <v>170</v>
      </c>
      <c r="J978" s="256">
        <v>10495</v>
      </c>
      <c r="K978" s="568">
        <f>ROUND(I978*J978,0)</f>
        <v>1784150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89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15">
        <v>2</v>
      </c>
      <c r="AC978" s="211" t="str">
        <f t="shared" si="94"/>
        <v/>
      </c>
    </row>
    <row r="979" spans="1:29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5"/>
        <v>5</v>
      </c>
      <c r="C979" s="37">
        <f t="shared" si="96"/>
        <v>41776</v>
      </c>
      <c r="D979" s="191" t="s">
        <v>1219</v>
      </c>
      <c r="E979" s="37">
        <v>41776</v>
      </c>
      <c r="F979" s="40" t="s">
        <v>1097</v>
      </c>
      <c r="G979" s="467" t="s">
        <v>1198</v>
      </c>
      <c r="H979" s="7" t="s">
        <v>1095</v>
      </c>
      <c r="I979" s="256"/>
      <c r="J979" s="256"/>
      <c r="K979" s="852">
        <v>1437715</v>
      </c>
      <c r="L979" s="843" t="s">
        <v>9</v>
      </c>
      <c r="M979" s="843" t="s">
        <v>8</v>
      </c>
      <c r="N979" s="52" t="str">
        <f>IF(AND('331-CT'!$E$7=TH!H979,OR(L979="331",M979="331")),"331",IF(AND(OR(L979="131",M979="131"),H979='131-CT'!$E$7),"131",""))</f>
        <v/>
      </c>
      <c r="O979" s="89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15">
        <v>2</v>
      </c>
      <c r="AC979" s="211" t="str">
        <f t="shared" si="94"/>
        <v/>
      </c>
    </row>
    <row r="980" spans="1:29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ref="B980" si="97">IF(C980&lt;&gt;"",MONTH(C980),"")</f>
        <v>5</v>
      </c>
      <c r="C980" s="37">
        <f t="shared" ref="C980" si="98">E980</f>
        <v>41776</v>
      </c>
      <c r="D980" s="191" t="s">
        <v>1219</v>
      </c>
      <c r="E980" s="37">
        <v>41776</v>
      </c>
      <c r="F980" s="189" t="s">
        <v>895</v>
      </c>
      <c r="G980" s="467" t="s">
        <v>1198</v>
      </c>
      <c r="H980" s="7" t="s">
        <v>1095</v>
      </c>
      <c r="I980" s="256"/>
      <c r="J980" s="256"/>
      <c r="K980" s="852">
        <v>15825444</v>
      </c>
      <c r="L980" s="843" t="s">
        <v>8</v>
      </c>
      <c r="M980" s="843" t="s">
        <v>47</v>
      </c>
      <c r="N980" s="52" t="str">
        <f>IF(AND('331-CT'!$E$7=TH!H980,OR(L980="331",M980="331")),"331",IF(AND(OR(L980="131",M980="131"),H980='131-CT'!$E$7),"131",""))</f>
        <v/>
      </c>
      <c r="O980" s="89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>x</v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15"/>
      <c r="AC980" s="211" t="str">
        <f t="shared" ref="AC980" si="99">IF(H980=VLOOKUP(H980,DSKH,1,0),"","x")</f>
        <v/>
      </c>
    </row>
    <row r="981" spans="1:29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5"/>
        <v>5</v>
      </c>
      <c r="C981" s="37">
        <f t="shared" si="96"/>
        <v>41781</v>
      </c>
      <c r="D981" s="191" t="s">
        <v>1219</v>
      </c>
      <c r="E981" s="191">
        <v>41781</v>
      </c>
      <c r="F981" s="192" t="s">
        <v>1160</v>
      </c>
      <c r="G981" s="468" t="s">
        <v>1159</v>
      </c>
      <c r="H981" s="7" t="s">
        <v>1144</v>
      </c>
      <c r="I981" s="708">
        <v>400</v>
      </c>
      <c r="J981" s="708">
        <v>14784</v>
      </c>
      <c r="K981" s="568">
        <f>ROUND(I981*J981,0)</f>
        <v>5913600</v>
      </c>
      <c r="L981" s="39" t="s">
        <v>159</v>
      </c>
      <c r="M981" s="39" t="s">
        <v>8</v>
      </c>
      <c r="N981" s="52" t="str">
        <f>IF(AND('331-CT'!$E$7=TH!H981,OR(L981="331",M981="331")),"331",IF(AND(OR(L981="131",M981="131"),H981='131-CT'!$E$7),"131",""))</f>
        <v/>
      </c>
      <c r="O981" s="89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15">
        <v>2</v>
      </c>
      <c r="AC981" s="211" t="str">
        <f t="shared" si="94"/>
        <v/>
      </c>
    </row>
    <row r="982" spans="1:29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5"/>
        <v>5</v>
      </c>
      <c r="C982" s="37">
        <f t="shared" si="96"/>
        <v>41781</v>
      </c>
      <c r="D982" s="191" t="s">
        <v>1219</v>
      </c>
      <c r="E982" s="191">
        <v>41781</v>
      </c>
      <c r="F982" s="192" t="s">
        <v>1161</v>
      </c>
      <c r="G982" s="468" t="s">
        <v>1159</v>
      </c>
      <c r="H982" s="7" t="s">
        <v>1144</v>
      </c>
      <c r="I982" s="708">
        <v>500</v>
      </c>
      <c r="J982" s="256">
        <v>19008</v>
      </c>
      <c r="K982" s="568">
        <f>ROUND(I982*J982,0)</f>
        <v>9504000</v>
      </c>
      <c r="L982" s="39" t="s">
        <v>159</v>
      </c>
      <c r="M982" s="39" t="s">
        <v>8</v>
      </c>
      <c r="N982" s="52" t="str">
        <f>IF(AND('331-CT'!$E$7=TH!H982,OR(L982="331",M982="331")),"331",IF(AND(OR(L982="131",M982="131"),H982='131-CT'!$E$7),"131",""))</f>
        <v/>
      </c>
      <c r="O982" s="89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15">
        <v>2</v>
      </c>
      <c r="AC982" s="211" t="str">
        <f t="shared" si="94"/>
        <v/>
      </c>
    </row>
    <row r="983" spans="1:29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ref="B983" si="100">IF(C983&lt;&gt;"",MONTH(C983),"")</f>
        <v>5</v>
      </c>
      <c r="C983" s="37">
        <f t="shared" ref="C983" si="101">E983</f>
        <v>41781</v>
      </c>
      <c r="D983" s="191" t="s">
        <v>1219</v>
      </c>
      <c r="E983" s="191">
        <v>41781</v>
      </c>
      <c r="F983" s="40" t="s">
        <v>1000</v>
      </c>
      <c r="G983" s="468" t="s">
        <v>1159</v>
      </c>
      <c r="H983" s="7" t="s">
        <v>1144</v>
      </c>
      <c r="I983" s="256"/>
      <c r="J983" s="256"/>
      <c r="K983" s="568">
        <v>1541760</v>
      </c>
      <c r="L983" s="39" t="s">
        <v>9</v>
      </c>
      <c r="M983" s="39" t="s">
        <v>8</v>
      </c>
      <c r="N983" s="52" t="str">
        <f>IF(AND('331-CT'!$E$7=TH!H983,OR(L983="331",M983="331")),"331",IF(AND(OR(L983="131",M983="131"),H983='131-CT'!$E$7),"131",""))</f>
        <v/>
      </c>
      <c r="O983" s="89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15">
        <v>2</v>
      </c>
      <c r="AC983" s="211" t="str">
        <f t="shared" ref="AC983" si="102">IF(H983=VLOOKUP(H983,DSKH,1,0),"","x")</f>
        <v/>
      </c>
    </row>
    <row r="984" spans="1:29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5"/>
        <v>5</v>
      </c>
      <c r="C984" s="37">
        <f t="shared" si="96"/>
        <v>41781</v>
      </c>
      <c r="D984" s="191" t="s">
        <v>1219</v>
      </c>
      <c r="E984" s="191">
        <v>41781</v>
      </c>
      <c r="F984" s="189" t="s">
        <v>895</v>
      </c>
      <c r="G984" s="468" t="s">
        <v>1159</v>
      </c>
      <c r="H984" s="7" t="s">
        <v>1144</v>
      </c>
      <c r="I984" s="256"/>
      <c r="J984" s="256"/>
      <c r="K984" s="568">
        <v>16959360</v>
      </c>
      <c r="L984" s="39" t="s">
        <v>8</v>
      </c>
      <c r="M984" s="39" t="s">
        <v>47</v>
      </c>
      <c r="N984" s="52" t="str">
        <f>IF(AND('331-CT'!$E$7=TH!H984,OR(L984="331",M984="331")),"331",IF(AND(OR(L984="131",M984="131"),H984='131-CT'!$E$7),"131",""))</f>
        <v/>
      </c>
      <c r="O984" s="89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>x</v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15"/>
      <c r="AC984" s="211" t="str">
        <f>IF(H984=VLOOKUP(H984,DSKH,1,0),"","x")</f>
        <v/>
      </c>
    </row>
    <row r="985" spans="1:29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5"/>
        <v>5</v>
      </c>
      <c r="C985" s="37">
        <f t="shared" si="96"/>
        <v>41783</v>
      </c>
      <c r="D985" s="191" t="s">
        <v>1220</v>
      </c>
      <c r="E985" s="730">
        <v>41783</v>
      </c>
      <c r="F985" s="192" t="s">
        <v>1164</v>
      </c>
      <c r="G985" s="467" t="s">
        <v>1163</v>
      </c>
      <c r="H985" s="7" t="s">
        <v>1144</v>
      </c>
      <c r="I985" s="256">
        <v>150</v>
      </c>
      <c r="J985" s="256">
        <v>10513</v>
      </c>
      <c r="K985" s="568">
        <f>ROUND(I985*J985,0)</f>
        <v>1576950</v>
      </c>
      <c r="L985" s="39" t="s">
        <v>159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89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15">
        <v>2</v>
      </c>
      <c r="AC985" s="211" t="str">
        <f t="shared" si="94"/>
        <v/>
      </c>
    </row>
    <row r="986" spans="1:29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95"/>
        <v>5</v>
      </c>
      <c r="C986" s="37">
        <f t="shared" si="96"/>
        <v>41783</v>
      </c>
      <c r="D986" s="191" t="s">
        <v>1220</v>
      </c>
      <c r="E986" s="730">
        <v>41783</v>
      </c>
      <c r="F986" s="192" t="s">
        <v>1165</v>
      </c>
      <c r="G986" s="467" t="s">
        <v>1163</v>
      </c>
      <c r="H986" s="7" t="s">
        <v>1144</v>
      </c>
      <c r="I986" s="256">
        <v>200</v>
      </c>
      <c r="J986" s="256">
        <v>17618</v>
      </c>
      <c r="K986" s="568">
        <f>ROUND(I986*J986,0)</f>
        <v>3523600</v>
      </c>
      <c r="L986" s="39" t="s">
        <v>159</v>
      </c>
      <c r="M986" s="39" t="s">
        <v>8</v>
      </c>
      <c r="N986" s="52" t="str">
        <f>IF(AND('331-CT'!$E$7=TH!H986,OR(L986="331",M986="331")),"331",IF(AND(OR(L986="131",M986="131"),H986='131-CT'!$E$7),"131",""))</f>
        <v/>
      </c>
      <c r="O986" s="89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15">
        <v>2</v>
      </c>
      <c r="AC986" s="211" t="str">
        <f t="shared" si="94"/>
        <v/>
      </c>
    </row>
    <row r="987" spans="1:29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5"/>
        <v>5</v>
      </c>
      <c r="C987" s="37">
        <f t="shared" si="96"/>
        <v>41783</v>
      </c>
      <c r="D987" s="191" t="s">
        <v>1220</v>
      </c>
      <c r="E987" s="730">
        <v>41783</v>
      </c>
      <c r="F987" s="192" t="s">
        <v>1166</v>
      </c>
      <c r="G987" s="467" t="s">
        <v>1163</v>
      </c>
      <c r="H987" s="7" t="s">
        <v>1144</v>
      </c>
      <c r="I987" s="708">
        <v>250</v>
      </c>
      <c r="J987" s="256">
        <v>25186</v>
      </c>
      <c r="K987" s="568">
        <f>ROUND(I987*J987,0)</f>
        <v>6296500</v>
      </c>
      <c r="L987" s="39" t="s">
        <v>159</v>
      </c>
      <c r="M987" s="39" t="s">
        <v>8</v>
      </c>
      <c r="N987" s="52" t="str">
        <f>IF(AND('331-CT'!$E$7=TH!H987,OR(L987="331",M987="331")),"331",IF(AND(OR(L987="131",M987="131"),H987='131-CT'!$E$7),"131",""))</f>
        <v/>
      </c>
      <c r="O987" s="89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15">
        <v>2</v>
      </c>
      <c r="AC987" s="211" t="str">
        <f t="shared" si="94"/>
        <v/>
      </c>
    </row>
    <row r="988" spans="1:29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5"/>
        <v>5</v>
      </c>
      <c r="C988" s="37">
        <f t="shared" si="96"/>
        <v>41783</v>
      </c>
      <c r="D988" s="191" t="s">
        <v>1220</v>
      </c>
      <c r="E988" s="730">
        <v>41783</v>
      </c>
      <c r="F988" s="780" t="s">
        <v>1167</v>
      </c>
      <c r="G988" s="467" t="s">
        <v>1163</v>
      </c>
      <c r="H988" s="7" t="s">
        <v>1144</v>
      </c>
      <c r="I988" s="708">
        <v>100</v>
      </c>
      <c r="J988" s="708">
        <v>22968</v>
      </c>
      <c r="K988" s="568">
        <f>ROUND(I988*J988,0)</f>
        <v>2296800</v>
      </c>
      <c r="L988" s="39" t="s">
        <v>159</v>
      </c>
      <c r="M988" s="39" t="s">
        <v>8</v>
      </c>
      <c r="N988" s="52" t="str">
        <f>IF(AND('331-CT'!$E$7=TH!H988,OR(L988="331",M988="331")),"331",IF(AND(OR(L988="131",M988="131"),H988='131-CT'!$E$7),"131",""))</f>
        <v/>
      </c>
      <c r="O988" s="89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15">
        <v>2</v>
      </c>
      <c r="AC988" s="211" t="str">
        <f t="shared" si="94"/>
        <v/>
      </c>
    </row>
    <row r="989" spans="1:29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ref="B989" si="103">IF(C989&lt;&gt;"",MONTH(C989),"")</f>
        <v>5</v>
      </c>
      <c r="C989" s="37">
        <f t="shared" ref="C989" si="104">E989</f>
        <v>41783</v>
      </c>
      <c r="D989" s="191" t="s">
        <v>1220</v>
      </c>
      <c r="E989" s="730">
        <v>41783</v>
      </c>
      <c r="F989" s="40" t="s">
        <v>1000</v>
      </c>
      <c r="G989" s="467" t="s">
        <v>1163</v>
      </c>
      <c r="H989" s="7" t="s">
        <v>1144</v>
      </c>
      <c r="I989" s="708"/>
      <c r="J989" s="708"/>
      <c r="K989" s="568">
        <v>1369385</v>
      </c>
      <c r="L989" s="39" t="s">
        <v>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89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15">
        <v>2</v>
      </c>
      <c r="AC989" s="211" t="str">
        <f t="shared" ref="AC989" si="105">IF(H989=VLOOKUP(H989,DSKH,1,0),"","x")</f>
        <v/>
      </c>
    </row>
    <row r="990" spans="1:29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5"/>
        <v>5</v>
      </c>
      <c r="C990" s="37">
        <f t="shared" si="96"/>
        <v>41783</v>
      </c>
      <c r="D990" s="191" t="s">
        <v>1220</v>
      </c>
      <c r="E990" s="730">
        <v>41783</v>
      </c>
      <c r="F990" s="189" t="s">
        <v>895</v>
      </c>
      <c r="G990" s="467" t="s">
        <v>1163</v>
      </c>
      <c r="H990" s="7" t="s">
        <v>1144</v>
      </c>
      <c r="I990" s="708"/>
      <c r="J990" s="708"/>
      <c r="K990" s="568">
        <v>15063235</v>
      </c>
      <c r="L990" s="39" t="s">
        <v>8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89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>x</v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15"/>
      <c r="AC990" s="211" t="str">
        <f>IF(H990=VLOOKUP(H990,DSKH,1,0),"","x")</f>
        <v/>
      </c>
    </row>
    <row r="991" spans="1:29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5"/>
        <v>5</v>
      </c>
      <c r="C991" s="37">
        <f t="shared" si="96"/>
        <v>41783</v>
      </c>
      <c r="D991" s="37"/>
      <c r="E991" s="730">
        <v>41783</v>
      </c>
      <c r="F991" s="189" t="s">
        <v>995</v>
      </c>
      <c r="G991" s="468" t="s">
        <v>1168</v>
      </c>
      <c r="H991" s="7" t="s">
        <v>997</v>
      </c>
      <c r="I991" s="708"/>
      <c r="J991" s="708"/>
      <c r="K991" s="568">
        <v>756428</v>
      </c>
      <c r="L991" s="39" t="s">
        <v>83</v>
      </c>
      <c r="M991" s="39" t="s">
        <v>47</v>
      </c>
      <c r="N991" s="52" t="str">
        <f>IF(AND('331-CT'!$E$7=TH!H991,OR(L991="331",M991="331")),"331",IF(AND(OR(L991="131",M991="131"),H991='131-CT'!$E$7),"131",""))</f>
        <v/>
      </c>
      <c r="O991" s="89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>x</v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W991" s="52" t="str">
        <f>IF(OR(TH!L991=TH!$W$7,M991=TH!$W$7),"x","")</f>
        <v>x</v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15">
        <v>2</v>
      </c>
    </row>
    <row r="992" spans="1:29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5"/>
        <v>5</v>
      </c>
      <c r="C992" s="37">
        <f t="shared" si="96"/>
        <v>41783</v>
      </c>
      <c r="D992" s="37"/>
      <c r="E992" s="730">
        <v>41783</v>
      </c>
      <c r="F992" s="189" t="s">
        <v>996</v>
      </c>
      <c r="G992" s="468" t="s">
        <v>1168</v>
      </c>
      <c r="H992" s="7" t="s">
        <v>997</v>
      </c>
      <c r="I992" s="708"/>
      <c r="J992" s="708"/>
      <c r="K992" s="568">
        <v>75643</v>
      </c>
      <c r="L992" s="39" t="s">
        <v>9</v>
      </c>
      <c r="M992" s="39" t="s">
        <v>47</v>
      </c>
      <c r="N992" s="52" t="str">
        <f>IF(AND('331-CT'!$E$7=TH!H992,OR(L992="331",M992="331")),"331",IF(AND(OR(L992="131",M992="131"),H992='131-CT'!$E$7),"131",""))</f>
        <v/>
      </c>
      <c r="O992" s="89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15">
        <v>2</v>
      </c>
    </row>
    <row r="993" spans="1:29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5"/>
        <v>5</v>
      </c>
      <c r="C993" s="37">
        <f t="shared" si="96"/>
        <v>41789</v>
      </c>
      <c r="D993" s="37"/>
      <c r="E993" s="37">
        <v>41789</v>
      </c>
      <c r="F993" s="192" t="s">
        <v>372</v>
      </c>
      <c r="G993" s="468" t="s">
        <v>670</v>
      </c>
      <c r="H993" s="7" t="s">
        <v>1002</v>
      </c>
      <c r="I993" s="708"/>
      <c r="J993" s="708"/>
      <c r="K993" s="568">
        <v>5040000</v>
      </c>
      <c r="L993" s="39" t="s">
        <v>167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89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154</v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15">
        <v>2</v>
      </c>
    </row>
    <row r="994" spans="1:29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5"/>
        <v>5</v>
      </c>
      <c r="C994" s="37">
        <f t="shared" si="96"/>
        <v>41789</v>
      </c>
      <c r="D994" s="37"/>
      <c r="E994" s="37">
        <v>41789</v>
      </c>
      <c r="F994" s="192" t="s">
        <v>1003</v>
      </c>
      <c r="G994" s="468" t="s">
        <v>670</v>
      </c>
      <c r="H994" s="7" t="s">
        <v>1002</v>
      </c>
      <c r="I994" s="708"/>
      <c r="J994" s="708"/>
      <c r="K994" s="568">
        <v>504000</v>
      </c>
      <c r="L994" s="39" t="s">
        <v>9</v>
      </c>
      <c r="M994" s="39" t="s">
        <v>47</v>
      </c>
      <c r="N994" s="52" t="str">
        <f>IF(AND('331-CT'!$E$7=TH!H994,OR(L994="331",M994="331")),"331",IF(AND(OR(L994="131",M994="131"),H994='131-CT'!$E$7),"131",""))</f>
        <v/>
      </c>
      <c r="O994" s="89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15">
        <v>2</v>
      </c>
    </row>
    <row r="995" spans="1:29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5"/>
        <v>5</v>
      </c>
      <c r="C995" s="37">
        <f t="shared" si="96"/>
        <v>41790</v>
      </c>
      <c r="D995" s="37" t="s">
        <v>1212</v>
      </c>
      <c r="E995" s="37">
        <v>41790</v>
      </c>
      <c r="F995" s="189" t="s">
        <v>330</v>
      </c>
      <c r="G995" s="468" t="s">
        <v>1169</v>
      </c>
      <c r="H995" s="7" t="s">
        <v>351</v>
      </c>
      <c r="I995" s="708">
        <v>24</v>
      </c>
      <c r="J995" s="708">
        <v>44000</v>
      </c>
      <c r="K995" s="568">
        <f>ROUND(I995*J995,0)</f>
        <v>1056000</v>
      </c>
      <c r="L995" s="39" t="s">
        <v>161</v>
      </c>
      <c r="M995" s="39" t="s">
        <v>8</v>
      </c>
      <c r="N995" s="52" t="str">
        <f>IF(AND('331-CT'!$E$7=TH!H995,OR(L995="331",M995="331")),"331",IF(AND(OR(L995="131",M995="131"),H995='131-CT'!$E$7),"131",""))</f>
        <v/>
      </c>
      <c r="O995" s="89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15">
        <v>2</v>
      </c>
      <c r="AC995" s="211" t="str">
        <f>IF(H995=VLOOKUP(H995,DSKH,1,0),"","x")</f>
        <v/>
      </c>
    </row>
    <row r="996" spans="1:29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5"/>
        <v>5</v>
      </c>
      <c r="C996" s="37">
        <f t="shared" si="96"/>
        <v>41790</v>
      </c>
      <c r="D996" s="37" t="s">
        <v>1212</v>
      </c>
      <c r="E996" s="37">
        <v>41790</v>
      </c>
      <c r="F996" s="189" t="s">
        <v>1012</v>
      </c>
      <c r="G996" s="468" t="s">
        <v>1169</v>
      </c>
      <c r="H996" s="7" t="s">
        <v>351</v>
      </c>
      <c r="I996" s="256"/>
      <c r="J996" s="256"/>
      <c r="K996" s="568">
        <v>105600</v>
      </c>
      <c r="L996" s="39" t="s">
        <v>9</v>
      </c>
      <c r="M996" s="39" t="s">
        <v>8</v>
      </c>
      <c r="N996" s="52" t="str">
        <f>IF(AND('331-CT'!$E$7=TH!H996,OR(L996="331",M996="331")),"331",IF(AND(OR(L996="131",M996="131"),H996='131-CT'!$E$7),"131",""))</f>
        <v/>
      </c>
      <c r="O996" s="89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15">
        <v>2</v>
      </c>
      <c r="AC996" s="211" t="str">
        <f>IF(H996=VLOOKUP(H996,DSKH,1,0),"","x")</f>
        <v/>
      </c>
    </row>
    <row r="997" spans="1:29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5"/>
        <v>5</v>
      </c>
      <c r="C997" s="37">
        <f t="shared" si="96"/>
        <v>41790</v>
      </c>
      <c r="D997" s="37"/>
      <c r="E997" s="37">
        <v>41790</v>
      </c>
      <c r="F997" s="189" t="s">
        <v>895</v>
      </c>
      <c r="G997" s="468" t="s">
        <v>1169</v>
      </c>
      <c r="H997" s="7" t="s">
        <v>351</v>
      </c>
      <c r="I997" s="256"/>
      <c r="J997" s="256"/>
      <c r="K997" s="568">
        <v>1161600</v>
      </c>
      <c r="L997" s="39" t="s">
        <v>8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89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>x</v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15"/>
    </row>
    <row r="998" spans="1:29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5"/>
        <v>6</v>
      </c>
      <c r="C998" s="37">
        <f t="shared" si="96"/>
        <v>41792</v>
      </c>
      <c r="D998" s="191" t="s">
        <v>1221</v>
      </c>
      <c r="E998" s="37">
        <v>41792</v>
      </c>
      <c r="F998" s="40" t="s">
        <v>1171</v>
      </c>
      <c r="G998" s="467" t="s">
        <v>1170</v>
      </c>
      <c r="H998" s="7" t="s">
        <v>1144</v>
      </c>
      <c r="I998" s="256">
        <v>1000</v>
      </c>
      <c r="J998" s="256">
        <v>10231</v>
      </c>
      <c r="K998" s="568">
        <f t="shared" ref="K998:K1028" si="106">ROUND(I998*J998,0)</f>
        <v>10231000</v>
      </c>
      <c r="L998" s="39" t="s">
        <v>159</v>
      </c>
      <c r="M998" s="39" t="s">
        <v>8</v>
      </c>
      <c r="N998" s="52" t="str">
        <f>IF(AND('331-CT'!$E$7=TH!H998,OR(L998="331",M998="331")),"331",IF(AND(OR(L998="131",M998="131"),H998='131-CT'!$E$7),"131",""))</f>
        <v/>
      </c>
      <c r="O998" s="89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15">
        <v>2</v>
      </c>
      <c r="AC998" s="211" t="str">
        <f t="shared" ref="AC998:AC1029" si="107">IF(H998=VLOOKUP(H998,DSKH,1,0),"","x")</f>
        <v/>
      </c>
    </row>
    <row r="999" spans="1:29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5"/>
        <v>6</v>
      </c>
      <c r="C999" s="37">
        <f t="shared" si="96"/>
        <v>41792</v>
      </c>
      <c r="D999" s="191" t="s">
        <v>1221</v>
      </c>
      <c r="E999" s="37">
        <v>41792</v>
      </c>
      <c r="F999" s="40" t="s">
        <v>1172</v>
      </c>
      <c r="G999" s="467" t="s">
        <v>1170</v>
      </c>
      <c r="H999" s="7" t="s">
        <v>1144</v>
      </c>
      <c r="I999" s="256">
        <v>250</v>
      </c>
      <c r="J999" s="256">
        <v>16262</v>
      </c>
      <c r="K999" s="568">
        <f t="shared" si="106"/>
        <v>4065500</v>
      </c>
      <c r="L999" s="39" t="s">
        <v>159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89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15">
        <v>2</v>
      </c>
      <c r="AC999" s="211" t="str">
        <f t="shared" si="107"/>
        <v/>
      </c>
    </row>
    <row r="1000" spans="1:29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5"/>
        <v>6</v>
      </c>
      <c r="C1000" s="37">
        <f t="shared" si="96"/>
        <v>41792</v>
      </c>
      <c r="D1000" s="191" t="s">
        <v>1221</v>
      </c>
      <c r="E1000" s="37">
        <v>41792</v>
      </c>
      <c r="F1000" s="40" t="s">
        <v>1075</v>
      </c>
      <c r="G1000" s="467" t="s">
        <v>1170</v>
      </c>
      <c r="H1000" s="7" t="s">
        <v>1144</v>
      </c>
      <c r="I1000" s="256">
        <v>310</v>
      </c>
      <c r="J1000" s="256">
        <v>20038</v>
      </c>
      <c r="K1000" s="568">
        <f t="shared" si="106"/>
        <v>6211780</v>
      </c>
      <c r="L1000" s="39" t="s">
        <v>159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89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15">
        <v>2</v>
      </c>
      <c r="AC1000" s="211" t="str">
        <f t="shared" si="107"/>
        <v/>
      </c>
    </row>
    <row r="1001" spans="1:29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5"/>
        <v>6</v>
      </c>
      <c r="C1001" s="37">
        <f t="shared" si="96"/>
        <v>41792</v>
      </c>
      <c r="D1001" s="191" t="s">
        <v>1221</v>
      </c>
      <c r="E1001" s="37">
        <v>41792</v>
      </c>
      <c r="F1001" s="40" t="s">
        <v>1161</v>
      </c>
      <c r="G1001" s="467" t="s">
        <v>1170</v>
      </c>
      <c r="H1001" s="7" t="s">
        <v>1144</v>
      </c>
      <c r="I1001" s="256">
        <v>500</v>
      </c>
      <c r="J1001" s="256">
        <v>19008</v>
      </c>
      <c r="K1001" s="568">
        <f t="shared" si="106"/>
        <v>9504000</v>
      </c>
      <c r="L1001" s="39" t="s">
        <v>159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89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15">
        <v>2</v>
      </c>
      <c r="AC1001" s="211" t="str">
        <f t="shared" si="107"/>
        <v/>
      </c>
    </row>
    <row r="1002" spans="1:29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5"/>
        <v>6</v>
      </c>
      <c r="C1002" s="37">
        <f t="shared" si="96"/>
        <v>41792</v>
      </c>
      <c r="D1002" s="191" t="s">
        <v>1221</v>
      </c>
      <c r="E1002" s="37">
        <v>41792</v>
      </c>
      <c r="F1002" s="40" t="s">
        <v>1076</v>
      </c>
      <c r="G1002" s="467" t="s">
        <v>1170</v>
      </c>
      <c r="H1002" s="7" t="s">
        <v>1144</v>
      </c>
      <c r="I1002" s="256">
        <v>250</v>
      </c>
      <c r="J1002" s="256">
        <v>17318</v>
      </c>
      <c r="K1002" s="568">
        <f t="shared" si="106"/>
        <v>4329500</v>
      </c>
      <c r="L1002" s="39" t="s">
        <v>159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89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15">
        <v>2</v>
      </c>
      <c r="AC1002" s="211" t="str">
        <f t="shared" si="107"/>
        <v/>
      </c>
    </row>
    <row r="1003" spans="1:29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5"/>
        <v>6</v>
      </c>
      <c r="C1003" s="37">
        <f t="shared" si="96"/>
        <v>41792</v>
      </c>
      <c r="D1003" s="191" t="s">
        <v>1221</v>
      </c>
      <c r="E1003" s="37">
        <v>41792</v>
      </c>
      <c r="F1003" s="40" t="s">
        <v>1165</v>
      </c>
      <c r="G1003" s="467" t="s">
        <v>1170</v>
      </c>
      <c r="H1003" s="7" t="s">
        <v>1144</v>
      </c>
      <c r="I1003" s="256">
        <v>200</v>
      </c>
      <c r="J1003" s="256">
        <v>17618</v>
      </c>
      <c r="K1003" s="568">
        <f t="shared" si="106"/>
        <v>3523600</v>
      </c>
      <c r="L1003" s="39" t="s">
        <v>159</v>
      </c>
      <c r="M1003" s="39" t="s">
        <v>8</v>
      </c>
      <c r="N1003" s="52" t="str">
        <f>IF(AND('331-CT'!$E$7=TH!H1003,OR(L1003="331",M1003="331")),"331",IF(AND(OR(L1003="131",M1003="131"),H1003='131-CT'!$E$7),"131",""))</f>
        <v/>
      </c>
      <c r="O1003" s="89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15">
        <v>2</v>
      </c>
      <c r="AC1003" s="211" t="str">
        <f t="shared" si="107"/>
        <v/>
      </c>
    </row>
    <row r="1004" spans="1:29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5"/>
        <v>6</v>
      </c>
      <c r="C1004" s="37">
        <f t="shared" si="96"/>
        <v>41792</v>
      </c>
      <c r="D1004" s="191" t="s">
        <v>1221</v>
      </c>
      <c r="E1004" s="37">
        <v>41792</v>
      </c>
      <c r="F1004" s="40" t="s">
        <v>1167</v>
      </c>
      <c r="G1004" s="467" t="s">
        <v>1170</v>
      </c>
      <c r="H1004" s="7" t="s">
        <v>1144</v>
      </c>
      <c r="I1004" s="256">
        <v>100</v>
      </c>
      <c r="J1004" s="256">
        <v>22968</v>
      </c>
      <c r="K1004" s="568">
        <f t="shared" si="106"/>
        <v>2296800</v>
      </c>
      <c r="L1004" s="39" t="s">
        <v>159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89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15">
        <v>2</v>
      </c>
      <c r="AC1004" s="211" t="str">
        <f t="shared" si="107"/>
        <v/>
      </c>
    </row>
    <row r="1005" spans="1:29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5"/>
        <v>6</v>
      </c>
      <c r="C1005" s="37">
        <f t="shared" si="96"/>
        <v>41792</v>
      </c>
      <c r="D1005" s="191" t="s">
        <v>1221</v>
      </c>
      <c r="E1005" s="37">
        <v>41792</v>
      </c>
      <c r="F1005" s="40" t="s">
        <v>1074</v>
      </c>
      <c r="G1005" s="467" t="s">
        <v>1170</v>
      </c>
      <c r="H1005" s="7" t="s">
        <v>1144</v>
      </c>
      <c r="I1005" s="256">
        <v>175</v>
      </c>
      <c r="J1005" s="256">
        <v>14978</v>
      </c>
      <c r="K1005" s="568">
        <f t="shared" si="106"/>
        <v>2621150</v>
      </c>
      <c r="L1005" s="39" t="s">
        <v>159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89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15">
        <v>2</v>
      </c>
      <c r="AC1005" s="211" t="str">
        <f t="shared" si="107"/>
        <v/>
      </c>
    </row>
    <row r="1006" spans="1:29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5"/>
        <v>6</v>
      </c>
      <c r="C1006" s="37">
        <f t="shared" si="96"/>
        <v>41792</v>
      </c>
      <c r="D1006" s="191" t="s">
        <v>1221</v>
      </c>
      <c r="E1006" s="37">
        <v>41792</v>
      </c>
      <c r="F1006" s="40" t="s">
        <v>1075</v>
      </c>
      <c r="G1006" s="467" t="s">
        <v>1170</v>
      </c>
      <c r="H1006" s="7" t="s">
        <v>1144</v>
      </c>
      <c r="I1006" s="256">
        <v>190</v>
      </c>
      <c r="J1006" s="256">
        <v>20038</v>
      </c>
      <c r="K1006" s="568">
        <f t="shared" si="106"/>
        <v>3807220</v>
      </c>
      <c r="L1006" s="39" t="s">
        <v>159</v>
      </c>
      <c r="M1006" s="39" t="s">
        <v>8</v>
      </c>
      <c r="N1006" s="52" t="str">
        <f>IF(AND('331-CT'!$E$7=TH!H1006,OR(L1006="331",M1006="331")),"331",IF(AND(OR(L1006="131",M1006="131"),H1006='131-CT'!$E$7),"131",""))</f>
        <v/>
      </c>
      <c r="O1006" s="89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15">
        <v>2</v>
      </c>
      <c r="AC1006" s="211" t="str">
        <f t="shared" si="107"/>
        <v/>
      </c>
    </row>
    <row r="1007" spans="1:29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5"/>
        <v>6</v>
      </c>
      <c r="C1007" s="37">
        <f t="shared" si="96"/>
        <v>41792</v>
      </c>
      <c r="D1007" s="191" t="s">
        <v>1221</v>
      </c>
      <c r="E1007" s="37">
        <v>41792</v>
      </c>
      <c r="F1007" s="40" t="s">
        <v>1073</v>
      </c>
      <c r="G1007" s="467" t="s">
        <v>1170</v>
      </c>
      <c r="H1007" s="7" t="s">
        <v>1144</v>
      </c>
      <c r="I1007" s="256">
        <v>146</v>
      </c>
      <c r="J1007" s="256">
        <v>16447</v>
      </c>
      <c r="K1007" s="568">
        <f t="shared" si="106"/>
        <v>2401262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/>
      </c>
      <c r="O1007" s="89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15">
        <v>2</v>
      </c>
      <c r="AC1007" s="211" t="str">
        <f t="shared" si="107"/>
        <v/>
      </c>
    </row>
    <row r="1008" spans="1:29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5"/>
        <v>6</v>
      </c>
      <c r="C1008" s="37">
        <f t="shared" si="96"/>
        <v>41792</v>
      </c>
      <c r="D1008" s="191" t="s">
        <v>1221</v>
      </c>
      <c r="E1008" s="37">
        <v>41792</v>
      </c>
      <c r="F1008" s="40" t="s">
        <v>1173</v>
      </c>
      <c r="G1008" s="467" t="s">
        <v>1170</v>
      </c>
      <c r="H1008" s="7" t="s">
        <v>1144</v>
      </c>
      <c r="I1008" s="708">
        <v>400</v>
      </c>
      <c r="J1008" s="708">
        <v>22704</v>
      </c>
      <c r="K1008" s="568">
        <f t="shared" si="106"/>
        <v>9081600</v>
      </c>
      <c r="L1008" s="39" t="s">
        <v>159</v>
      </c>
      <c r="M1008" s="39" t="s">
        <v>8</v>
      </c>
      <c r="N1008" s="52" t="str">
        <f>IF(AND('331-CT'!$E$7=TH!H1008,OR(L1008="331",M1008="331")),"331",IF(AND(OR(L1008="131",M1008="131"),H1008='131-CT'!$E$7),"131",""))</f>
        <v/>
      </c>
      <c r="O1008" s="89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15">
        <v>2</v>
      </c>
      <c r="AC1008" s="211" t="str">
        <f t="shared" si="107"/>
        <v/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5"/>
        <v>6</v>
      </c>
      <c r="C1009" s="37">
        <f t="shared" si="96"/>
        <v>41792</v>
      </c>
      <c r="D1009" s="191" t="s">
        <v>1221</v>
      </c>
      <c r="E1009" s="37">
        <v>41792</v>
      </c>
      <c r="F1009" s="40" t="s">
        <v>1074</v>
      </c>
      <c r="G1009" s="467" t="s">
        <v>1170</v>
      </c>
      <c r="H1009" s="7" t="s">
        <v>1144</v>
      </c>
      <c r="I1009" s="708">
        <v>175</v>
      </c>
      <c r="J1009" s="708">
        <v>14978</v>
      </c>
      <c r="K1009" s="568">
        <f t="shared" si="106"/>
        <v>2621150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15">
        <v>2</v>
      </c>
      <c r="AC1009" s="211" t="str">
        <f t="shared" si="107"/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5"/>
        <v>6</v>
      </c>
      <c r="C1010" s="37">
        <f t="shared" si="96"/>
        <v>41792</v>
      </c>
      <c r="D1010" s="191" t="s">
        <v>1221</v>
      </c>
      <c r="E1010" s="37">
        <v>41792</v>
      </c>
      <c r="F1010" s="40" t="s">
        <v>1160</v>
      </c>
      <c r="G1010" s="467" t="s">
        <v>1170</v>
      </c>
      <c r="H1010" s="7" t="s">
        <v>1144</v>
      </c>
      <c r="I1010" s="708">
        <v>200</v>
      </c>
      <c r="J1010" s="708">
        <v>14784</v>
      </c>
      <c r="K1010" s="568">
        <f t="shared" si="106"/>
        <v>2956800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15">
        <v>2</v>
      </c>
      <c r="AC1010" s="211" t="str">
        <f t="shared" si="107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5"/>
        <v>6</v>
      </c>
      <c r="C1011" s="37">
        <f t="shared" si="96"/>
        <v>41792</v>
      </c>
      <c r="D1011" s="191" t="s">
        <v>1221</v>
      </c>
      <c r="E1011" s="37">
        <v>41792</v>
      </c>
      <c r="F1011" s="40" t="s">
        <v>1174</v>
      </c>
      <c r="G1011" s="467" t="s">
        <v>1170</v>
      </c>
      <c r="H1011" s="7" t="s">
        <v>1144</v>
      </c>
      <c r="I1011" s="708">
        <v>350</v>
      </c>
      <c r="J1011" s="708">
        <v>8584</v>
      </c>
      <c r="K1011" s="568">
        <f t="shared" si="106"/>
        <v>3004400</v>
      </c>
      <c r="L1011" s="39" t="s">
        <v>159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89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15">
        <v>2</v>
      </c>
      <c r="AC1011" s="211" t="str">
        <f t="shared" si="107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5"/>
        <v>6</v>
      </c>
      <c r="C1012" s="37">
        <f t="shared" si="96"/>
        <v>41792</v>
      </c>
      <c r="D1012" s="191" t="s">
        <v>1221</v>
      </c>
      <c r="E1012" s="37">
        <v>41792</v>
      </c>
      <c r="F1012" s="40" t="s">
        <v>1175</v>
      </c>
      <c r="G1012" s="467" t="s">
        <v>1170</v>
      </c>
      <c r="H1012" s="7" t="s">
        <v>1144</v>
      </c>
      <c r="I1012" s="708">
        <v>150</v>
      </c>
      <c r="J1012" s="708">
        <v>16315</v>
      </c>
      <c r="K1012" s="568">
        <f t="shared" si="106"/>
        <v>2447250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15">
        <v>2</v>
      </c>
      <c r="AC1012" s="211" t="str">
        <f t="shared" si="107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5"/>
        <v>6</v>
      </c>
      <c r="C1013" s="37">
        <f t="shared" si="96"/>
        <v>41792</v>
      </c>
      <c r="D1013" s="191" t="s">
        <v>1221</v>
      </c>
      <c r="E1013" s="37">
        <v>41792</v>
      </c>
      <c r="F1013" s="40" t="s">
        <v>1176</v>
      </c>
      <c r="G1013" s="467" t="s">
        <v>1170</v>
      </c>
      <c r="H1013" s="7" t="s">
        <v>1144</v>
      </c>
      <c r="I1013" s="708">
        <v>420</v>
      </c>
      <c r="J1013" s="708">
        <v>10150</v>
      </c>
      <c r="K1013" s="568">
        <f t="shared" si="106"/>
        <v>4263000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15">
        <v>2</v>
      </c>
      <c r="AC1013" s="211" t="str">
        <f t="shared" si="107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5"/>
        <v>6</v>
      </c>
      <c r="C1014" s="37">
        <f t="shared" si="96"/>
        <v>41792</v>
      </c>
      <c r="D1014" s="191" t="s">
        <v>1221</v>
      </c>
      <c r="E1014" s="37">
        <v>41792</v>
      </c>
      <c r="F1014" s="40" t="s">
        <v>1177</v>
      </c>
      <c r="G1014" s="467" t="s">
        <v>1170</v>
      </c>
      <c r="H1014" s="7" t="s">
        <v>1144</v>
      </c>
      <c r="I1014" s="708">
        <v>425</v>
      </c>
      <c r="J1014" s="708">
        <v>7888</v>
      </c>
      <c r="K1014" s="568">
        <f t="shared" si="106"/>
        <v>3352400</v>
      </c>
      <c r="L1014" s="39" t="s">
        <v>159</v>
      </c>
      <c r="M1014" s="39" t="s">
        <v>8</v>
      </c>
      <c r="N1014" s="52" t="str">
        <f>IF(AND('331-CT'!$E$7=TH!H1014,OR(L1014="331",M1014="331")),"331",IF(AND(OR(L1014="131",M1014="131"),H1014='131-CT'!$E$7),"131",""))</f>
        <v/>
      </c>
      <c r="O1014" s="89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15">
        <v>2</v>
      </c>
      <c r="AC1014" s="211" t="str">
        <f t="shared" si="107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5"/>
        <v>6</v>
      </c>
      <c r="C1015" s="37">
        <f t="shared" si="96"/>
        <v>41792</v>
      </c>
      <c r="D1015" s="191" t="s">
        <v>1221</v>
      </c>
      <c r="E1015" s="37">
        <v>41792</v>
      </c>
      <c r="F1015" s="40" t="s">
        <v>1178</v>
      </c>
      <c r="G1015" s="467" t="s">
        <v>1170</v>
      </c>
      <c r="H1015" s="7" t="s">
        <v>1144</v>
      </c>
      <c r="I1015" s="708">
        <v>435</v>
      </c>
      <c r="J1015" s="784">
        <v>9515</v>
      </c>
      <c r="K1015" s="568">
        <f t="shared" si="106"/>
        <v>4139025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89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15">
        <v>2</v>
      </c>
      <c r="AC1015" s="211" t="str">
        <f t="shared" si="107"/>
        <v/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5"/>
        <v>6</v>
      </c>
      <c r="C1016" s="37">
        <f t="shared" si="96"/>
        <v>41792</v>
      </c>
      <c r="D1016" s="191" t="s">
        <v>1221</v>
      </c>
      <c r="E1016" s="37">
        <v>41792</v>
      </c>
      <c r="F1016" s="40" t="s">
        <v>1179</v>
      </c>
      <c r="G1016" s="467" t="s">
        <v>1170</v>
      </c>
      <c r="H1016" s="7" t="s">
        <v>1144</v>
      </c>
      <c r="I1016" s="708">
        <v>250</v>
      </c>
      <c r="J1016" s="256">
        <v>29920</v>
      </c>
      <c r="K1016" s="568">
        <f t="shared" si="106"/>
        <v>7480000</v>
      </c>
      <c r="L1016" s="39" t="s">
        <v>159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89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15">
        <v>2</v>
      </c>
      <c r="AC1016" s="211" t="str">
        <f t="shared" si="107"/>
        <v/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5"/>
        <v>6</v>
      </c>
      <c r="C1017" s="37">
        <f t="shared" si="96"/>
        <v>41792</v>
      </c>
      <c r="D1017" s="191" t="s">
        <v>1221</v>
      </c>
      <c r="E1017" s="37">
        <v>41792</v>
      </c>
      <c r="F1017" s="40" t="s">
        <v>1076</v>
      </c>
      <c r="G1017" s="467" t="s">
        <v>1170</v>
      </c>
      <c r="H1017" s="7" t="s">
        <v>1144</v>
      </c>
      <c r="I1017" s="256">
        <v>200</v>
      </c>
      <c r="J1017" s="256">
        <v>17318</v>
      </c>
      <c r="K1017" s="568">
        <f t="shared" si="106"/>
        <v>3463600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15">
        <v>2</v>
      </c>
      <c r="AC1017" s="211" t="str">
        <f t="shared" si="107"/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5"/>
        <v>6</v>
      </c>
      <c r="C1018" s="37">
        <f t="shared" si="96"/>
        <v>41792</v>
      </c>
      <c r="D1018" s="191" t="s">
        <v>1221</v>
      </c>
      <c r="E1018" s="37">
        <v>41792</v>
      </c>
      <c r="F1018" s="40" t="s">
        <v>1180</v>
      </c>
      <c r="G1018" s="467" t="s">
        <v>1170</v>
      </c>
      <c r="H1018" s="7" t="s">
        <v>1144</v>
      </c>
      <c r="I1018" s="256">
        <v>972</v>
      </c>
      <c r="J1018" s="256">
        <v>9161</v>
      </c>
      <c r="K1018" s="568">
        <f t="shared" si="106"/>
        <v>8904492</v>
      </c>
      <c r="L1018" s="39" t="s">
        <v>159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15">
        <v>2</v>
      </c>
      <c r="AC1018" s="211" t="str">
        <f t="shared" si="107"/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5"/>
        <v>6</v>
      </c>
      <c r="C1019" s="37">
        <f t="shared" si="96"/>
        <v>41792</v>
      </c>
      <c r="D1019" s="191" t="s">
        <v>1221</v>
      </c>
      <c r="E1019" s="37">
        <v>41792</v>
      </c>
      <c r="F1019" s="40" t="s">
        <v>1076</v>
      </c>
      <c r="G1019" s="467" t="s">
        <v>1170</v>
      </c>
      <c r="H1019" s="7" t="s">
        <v>1144</v>
      </c>
      <c r="I1019" s="256">
        <v>50</v>
      </c>
      <c r="J1019" s="256">
        <v>17318</v>
      </c>
      <c r="K1019" s="568">
        <f t="shared" si="106"/>
        <v>865900</v>
      </c>
      <c r="L1019" s="39" t="s">
        <v>159</v>
      </c>
      <c r="M1019" s="39" t="s">
        <v>8</v>
      </c>
      <c r="N1019" s="52" t="str">
        <f>IF(AND('331-CT'!$E$7=TH!H1019,OR(L1019="331",M1019="331")),"331",IF(AND(OR(L1019="131",M1019="131"),H1019='131-CT'!$E$7),"131",""))</f>
        <v/>
      </c>
      <c r="O1019" s="89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15">
        <v>2</v>
      </c>
      <c r="AC1019" s="211" t="str">
        <f t="shared" si="107"/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5"/>
        <v>6</v>
      </c>
      <c r="C1020" s="37">
        <f t="shared" si="96"/>
        <v>41792</v>
      </c>
      <c r="D1020" s="191" t="s">
        <v>1221</v>
      </c>
      <c r="E1020" s="37">
        <v>41792</v>
      </c>
      <c r="F1020" s="40" t="s">
        <v>1181</v>
      </c>
      <c r="G1020" s="467" t="s">
        <v>1170</v>
      </c>
      <c r="H1020" s="7" t="s">
        <v>1144</v>
      </c>
      <c r="I1020" s="256">
        <v>150</v>
      </c>
      <c r="J1020" s="256">
        <v>16280</v>
      </c>
      <c r="K1020" s="568">
        <f t="shared" si="106"/>
        <v>2442000</v>
      </c>
      <c r="L1020" s="39" t="s">
        <v>159</v>
      </c>
      <c r="M1020" s="39" t="s">
        <v>8</v>
      </c>
      <c r="N1020" s="52" t="str">
        <f>IF(AND('331-CT'!$E$7=TH!H1020,OR(L1020="331",M1020="331")),"331",IF(AND(OR(L1020="131",M1020="131"),H1020='131-CT'!$E$7),"131",""))</f>
        <v/>
      </c>
      <c r="O1020" s="89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15">
        <v>2</v>
      </c>
      <c r="AC1020" s="211" t="str">
        <f t="shared" si="107"/>
        <v/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5"/>
        <v>6</v>
      </c>
      <c r="C1021" s="37">
        <f t="shared" si="96"/>
        <v>41792</v>
      </c>
      <c r="D1021" s="191" t="s">
        <v>1221</v>
      </c>
      <c r="E1021" s="37">
        <v>41792</v>
      </c>
      <c r="F1021" s="40" t="s">
        <v>1182</v>
      </c>
      <c r="G1021" s="467" t="s">
        <v>1170</v>
      </c>
      <c r="H1021" s="7" t="s">
        <v>1144</v>
      </c>
      <c r="I1021" s="256">
        <v>270</v>
      </c>
      <c r="J1021" s="256">
        <v>11020</v>
      </c>
      <c r="K1021" s="568">
        <f t="shared" si="106"/>
        <v>2975400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89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15">
        <v>2</v>
      </c>
      <c r="AC1021" s="211" t="str">
        <f t="shared" si="107"/>
        <v/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5"/>
        <v>6</v>
      </c>
      <c r="C1022" s="37">
        <f t="shared" si="96"/>
        <v>41792</v>
      </c>
      <c r="D1022" s="191" t="s">
        <v>1221</v>
      </c>
      <c r="E1022" s="37">
        <v>41792</v>
      </c>
      <c r="F1022" s="40" t="s">
        <v>1183</v>
      </c>
      <c r="G1022" s="467" t="s">
        <v>1170</v>
      </c>
      <c r="H1022" s="7" t="s">
        <v>1144</v>
      </c>
      <c r="I1022" s="256">
        <v>270</v>
      </c>
      <c r="J1022" s="256">
        <v>12615</v>
      </c>
      <c r="K1022" s="568">
        <f t="shared" si="106"/>
        <v>3406050</v>
      </c>
      <c r="L1022" s="39" t="s">
        <v>159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89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15">
        <v>2</v>
      </c>
      <c r="AC1022" s="211" t="str">
        <f t="shared" si="107"/>
        <v/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5"/>
        <v>6</v>
      </c>
      <c r="C1023" s="37">
        <f t="shared" si="96"/>
        <v>41792</v>
      </c>
      <c r="D1023" s="191" t="s">
        <v>1221</v>
      </c>
      <c r="E1023" s="37">
        <v>41792</v>
      </c>
      <c r="F1023" s="40" t="s">
        <v>1184</v>
      </c>
      <c r="G1023" s="467" t="s">
        <v>1170</v>
      </c>
      <c r="H1023" s="7" t="s">
        <v>1144</v>
      </c>
      <c r="I1023" s="256">
        <v>190</v>
      </c>
      <c r="J1023" s="256">
        <v>19690</v>
      </c>
      <c r="K1023" s="568">
        <f t="shared" si="106"/>
        <v>3741100</v>
      </c>
      <c r="L1023" s="39" t="s">
        <v>159</v>
      </c>
      <c r="M1023" s="39" t="s">
        <v>8</v>
      </c>
      <c r="N1023" s="52" t="str">
        <f>IF(AND('331-CT'!$E$7=TH!H1023,OR(L1023="331",M1023="331")),"331",IF(AND(OR(L1023="131",M1023="131"),H1023='131-CT'!$E$7),"131",""))</f>
        <v/>
      </c>
      <c r="O1023" s="89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15">
        <v>2</v>
      </c>
      <c r="AC1023" s="211" t="str">
        <f t="shared" si="107"/>
        <v/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95"/>
        <v>6</v>
      </c>
      <c r="C1024" s="37">
        <f t="shared" si="96"/>
        <v>41792</v>
      </c>
      <c r="D1024" s="191" t="s">
        <v>1221</v>
      </c>
      <c r="E1024" s="37">
        <v>41792</v>
      </c>
      <c r="F1024" s="40" t="s">
        <v>1185</v>
      </c>
      <c r="G1024" s="467" t="s">
        <v>1170</v>
      </c>
      <c r="H1024" s="7" t="s">
        <v>1144</v>
      </c>
      <c r="I1024" s="256">
        <v>350</v>
      </c>
      <c r="J1024" s="256">
        <v>8549</v>
      </c>
      <c r="K1024" s="568">
        <f t="shared" si="106"/>
        <v>2992150</v>
      </c>
      <c r="L1024" s="39" t="s">
        <v>159</v>
      </c>
      <c r="M1024" s="39" t="s">
        <v>8</v>
      </c>
      <c r="N1024" s="52" t="str">
        <f>IF(AND('331-CT'!$E$7=TH!H1024,OR(L1024="331",M1024="331")),"331",IF(AND(OR(L1024="131",M1024="131"),H1024='131-CT'!$E$7),"131",""))</f>
        <v/>
      </c>
      <c r="O1024" s="89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15">
        <v>2</v>
      </c>
      <c r="AC1024" s="211" t="str">
        <f t="shared" si="107"/>
        <v/>
      </c>
    </row>
    <row r="1025" spans="1:29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5"/>
        <v>6</v>
      </c>
      <c r="C1025" s="37">
        <f t="shared" si="96"/>
        <v>41792</v>
      </c>
      <c r="D1025" s="191" t="s">
        <v>1221</v>
      </c>
      <c r="E1025" s="37">
        <v>41792</v>
      </c>
      <c r="F1025" s="40" t="s">
        <v>1186</v>
      </c>
      <c r="G1025" s="467" t="s">
        <v>1170</v>
      </c>
      <c r="H1025" s="7" t="s">
        <v>1144</v>
      </c>
      <c r="I1025" s="256">
        <v>23</v>
      </c>
      <c r="J1025" s="256">
        <v>19712</v>
      </c>
      <c r="K1025" s="568">
        <f t="shared" si="106"/>
        <v>453376</v>
      </c>
      <c r="L1025" s="39" t="s">
        <v>159</v>
      </c>
      <c r="M1025" s="39" t="s">
        <v>8</v>
      </c>
      <c r="N1025" s="52" t="str">
        <f>IF(AND('331-CT'!$E$7=TH!H1025,OR(L1025="331",M1025="331")),"331",IF(AND(OR(L1025="131",M1025="131"),H1025='131-CT'!$E$7),"131",""))</f>
        <v/>
      </c>
      <c r="O1025" s="89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15">
        <v>2</v>
      </c>
      <c r="AC1025" s="211" t="str">
        <f t="shared" si="107"/>
        <v/>
      </c>
    </row>
    <row r="1026" spans="1:29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5"/>
        <v>6</v>
      </c>
      <c r="C1026" s="37">
        <f t="shared" si="96"/>
        <v>41792</v>
      </c>
      <c r="D1026" s="191" t="s">
        <v>1221</v>
      </c>
      <c r="E1026" s="37">
        <v>41792</v>
      </c>
      <c r="F1026" s="40" t="s">
        <v>1186</v>
      </c>
      <c r="G1026" s="467" t="s">
        <v>1170</v>
      </c>
      <c r="H1026" s="7" t="s">
        <v>1144</v>
      </c>
      <c r="I1026" s="256">
        <v>250</v>
      </c>
      <c r="J1026" s="256">
        <v>19712</v>
      </c>
      <c r="K1026" s="568">
        <f t="shared" si="106"/>
        <v>4928000</v>
      </c>
      <c r="L1026" s="39" t="s">
        <v>159</v>
      </c>
      <c r="M1026" s="39" t="s">
        <v>8</v>
      </c>
      <c r="N1026" s="52" t="str">
        <f>IF(AND('331-CT'!$E$7=TH!H1026,OR(L1026="331",M1026="331")),"331",IF(AND(OR(L1026="131",M1026="131"),H1026='131-CT'!$E$7),"131",""))</f>
        <v/>
      </c>
      <c r="O1026" s="89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15">
        <v>2</v>
      </c>
      <c r="AC1026" s="211" t="str">
        <f t="shared" si="107"/>
        <v/>
      </c>
    </row>
    <row r="1027" spans="1:29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5"/>
        <v>6</v>
      </c>
      <c r="C1027" s="37">
        <f t="shared" si="96"/>
        <v>41792</v>
      </c>
      <c r="D1027" s="191" t="s">
        <v>1221</v>
      </c>
      <c r="E1027" s="37">
        <v>41792</v>
      </c>
      <c r="F1027" s="40" t="s">
        <v>1187</v>
      </c>
      <c r="G1027" s="467" t="s">
        <v>1170</v>
      </c>
      <c r="H1027" s="7" t="s">
        <v>1144</v>
      </c>
      <c r="I1027" s="256">
        <v>350</v>
      </c>
      <c r="J1027" s="256">
        <v>8282</v>
      </c>
      <c r="K1027" s="568">
        <f t="shared" si="106"/>
        <v>2898700</v>
      </c>
      <c r="L1027" s="39" t="s">
        <v>159</v>
      </c>
      <c r="M1027" s="39" t="s">
        <v>8</v>
      </c>
      <c r="N1027" s="52" t="str">
        <f>IF(AND('331-CT'!$E$7=TH!H1027,OR(L1027="331",M1027="331")),"331",IF(AND(OR(L1027="131",M1027="131"),H1027='131-CT'!$E$7),"131",""))</f>
        <v/>
      </c>
      <c r="O1027" s="89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15">
        <v>2</v>
      </c>
      <c r="AC1027" s="211" t="str">
        <f t="shared" si="107"/>
        <v/>
      </c>
    </row>
    <row r="1028" spans="1:29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5"/>
        <v>6</v>
      </c>
      <c r="C1028" s="37">
        <f t="shared" si="96"/>
        <v>41792</v>
      </c>
      <c r="D1028" s="191" t="s">
        <v>1221</v>
      </c>
      <c r="E1028" s="37">
        <v>41792</v>
      </c>
      <c r="F1028" s="40" t="s">
        <v>1188</v>
      </c>
      <c r="G1028" s="467" t="s">
        <v>1170</v>
      </c>
      <c r="H1028" s="7" t="s">
        <v>1144</v>
      </c>
      <c r="I1028" s="256">
        <v>80</v>
      </c>
      <c r="J1028" s="256">
        <v>10261</v>
      </c>
      <c r="K1028" s="568">
        <f t="shared" si="106"/>
        <v>820880</v>
      </c>
      <c r="L1028" s="39" t="s">
        <v>159</v>
      </c>
      <c r="M1028" s="39" t="s">
        <v>8</v>
      </c>
      <c r="N1028" s="52" t="str">
        <f>IF(AND('331-CT'!$E$7=TH!H1028,OR(L1028="331",M1028="331")),"331",IF(AND(OR(L1028="131",M1028="131"),H1028='131-CT'!$E$7),"131",""))</f>
        <v/>
      </c>
      <c r="O1028" s="89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15">
        <v>2</v>
      </c>
      <c r="AC1028" s="211" t="str">
        <f t="shared" si="107"/>
        <v/>
      </c>
    </row>
    <row r="1029" spans="1:29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5"/>
        <v>6</v>
      </c>
      <c r="C1029" s="37">
        <f t="shared" si="96"/>
        <v>41792</v>
      </c>
      <c r="D1029" s="191" t="s">
        <v>1221</v>
      </c>
      <c r="E1029" s="37">
        <v>41792</v>
      </c>
      <c r="F1029" s="40" t="s">
        <v>1071</v>
      </c>
      <c r="G1029" s="467" t="s">
        <v>1170</v>
      </c>
      <c r="H1029" s="7" t="s">
        <v>1144</v>
      </c>
      <c r="I1029" s="256"/>
      <c r="J1029" s="256"/>
      <c r="K1029" s="568">
        <v>12622909</v>
      </c>
      <c r="L1029" s="39" t="s">
        <v>9</v>
      </c>
      <c r="M1029" s="39" t="s">
        <v>8</v>
      </c>
      <c r="N1029" s="52" t="str">
        <f>IF(AND('331-CT'!$E$7=TH!H1029,OR(L1029="331",M1029="331")),"331",IF(AND(OR(L1029="131",M1029="131"),H1029='131-CT'!$E$7),"131",""))</f>
        <v/>
      </c>
      <c r="O1029" s="89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15">
        <v>2</v>
      </c>
      <c r="AC1029" s="211" t="str">
        <f t="shared" si="107"/>
        <v/>
      </c>
    </row>
    <row r="1030" spans="1:29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5"/>
        <v>6</v>
      </c>
      <c r="C1030" s="37">
        <f t="shared" si="96"/>
        <v>41795</v>
      </c>
      <c r="D1030" s="37"/>
      <c r="E1030" s="37">
        <v>41795</v>
      </c>
      <c r="F1030" s="192" t="s">
        <v>372</v>
      </c>
      <c r="G1030" s="468" t="s">
        <v>678</v>
      </c>
      <c r="H1030" s="7" t="s">
        <v>1002</v>
      </c>
      <c r="I1030" s="256"/>
      <c r="J1030" s="256"/>
      <c r="K1030" s="568">
        <v>4070000</v>
      </c>
      <c r="L1030" s="39" t="s">
        <v>167</v>
      </c>
      <c r="M1030" s="39" t="s">
        <v>47</v>
      </c>
      <c r="N1030" s="52" t="str">
        <f>IF(AND('331-CT'!$E$7=TH!H1030,OR(L1030="331",M1030="331")),"331",IF(AND(OR(L1030="131",M1030="131"),H1030='131-CT'!$E$7),"131",""))</f>
        <v/>
      </c>
      <c r="O1030" s="89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15">
        <v>2</v>
      </c>
    </row>
    <row r="1031" spans="1:29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5"/>
        <v>6</v>
      </c>
      <c r="C1031" s="37">
        <f t="shared" si="96"/>
        <v>41795</v>
      </c>
      <c r="D1031" s="37"/>
      <c r="E1031" s="37">
        <v>41795</v>
      </c>
      <c r="F1031" s="192" t="s">
        <v>1003</v>
      </c>
      <c r="G1031" s="468" t="s">
        <v>678</v>
      </c>
      <c r="H1031" s="7" t="s">
        <v>1002</v>
      </c>
      <c r="I1031" s="256"/>
      <c r="J1031" s="256"/>
      <c r="K1031" s="568">
        <v>407000</v>
      </c>
      <c r="L1031" s="39" t="s">
        <v>9</v>
      </c>
      <c r="M1031" s="39" t="s">
        <v>47</v>
      </c>
      <c r="N1031" s="52" t="str">
        <f>IF(AND('331-CT'!$E$7=TH!H1031,OR(L1031="331",M1031="331")),"331",IF(AND(OR(L1031="131",M1031="131"),H1031='131-CT'!$E$7),"131",""))</f>
        <v/>
      </c>
      <c r="O1031" s="89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>x</v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15">
        <v>2</v>
      </c>
    </row>
    <row r="1032" spans="1:29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5"/>
        <v>6</v>
      </c>
      <c r="C1032" s="37">
        <f t="shared" si="96"/>
        <v>41796</v>
      </c>
      <c r="D1032" s="37"/>
      <c r="E1032" s="37">
        <v>41796</v>
      </c>
      <c r="F1032" s="40" t="s">
        <v>1191</v>
      </c>
      <c r="G1032" s="467" t="s">
        <v>1190</v>
      </c>
      <c r="H1032" s="7" t="s">
        <v>1189</v>
      </c>
      <c r="I1032" s="256"/>
      <c r="J1032" s="256"/>
      <c r="K1032" s="568">
        <v>2500000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>642</v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15">
        <v>2</v>
      </c>
    </row>
    <row r="1033" spans="1:29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5"/>
        <v>6</v>
      </c>
      <c r="C1033" s="37">
        <f t="shared" si="96"/>
        <v>41796</v>
      </c>
      <c r="D1033" s="37"/>
      <c r="E1033" s="37">
        <v>41796</v>
      </c>
      <c r="F1033" s="40" t="s">
        <v>1192</v>
      </c>
      <c r="G1033" s="467" t="s">
        <v>1190</v>
      </c>
      <c r="H1033" s="7" t="s">
        <v>1189</v>
      </c>
      <c r="I1033" s="256"/>
      <c r="J1033" s="256"/>
      <c r="K1033" s="568">
        <v>250000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15">
        <v>2</v>
      </c>
    </row>
    <row r="1034" spans="1:29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5"/>
        <v>6</v>
      </c>
      <c r="C1034" s="37">
        <f t="shared" si="96"/>
        <v>41807</v>
      </c>
      <c r="D1034" s="37"/>
      <c r="E1034" s="37">
        <v>41807</v>
      </c>
      <c r="F1034" s="40" t="s">
        <v>1135</v>
      </c>
      <c r="G1034" s="467" t="s">
        <v>1136</v>
      </c>
      <c r="H1034" s="7" t="s">
        <v>1137</v>
      </c>
      <c r="I1034" s="256"/>
      <c r="J1034" s="256"/>
      <c r="K1034" s="568">
        <v>1950000</v>
      </c>
      <c r="L1034" s="39" t="s">
        <v>83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>642</v>
      </c>
      <c r="W1034" s="52" t="str">
        <f>IF(OR(TH!L1034=TH!$W$7,M1034=TH!$W$7),"x","")</f>
        <v>x</v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15">
        <v>2</v>
      </c>
    </row>
    <row r="1035" spans="1:29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5"/>
        <v>6</v>
      </c>
      <c r="C1035" s="37">
        <f t="shared" si="96"/>
        <v>41813</v>
      </c>
      <c r="D1035" s="37"/>
      <c r="E1035" s="37">
        <v>41813</v>
      </c>
      <c r="F1035" s="192" t="s">
        <v>372</v>
      </c>
      <c r="G1035" s="468" t="s">
        <v>716</v>
      </c>
      <c r="H1035" s="7" t="s">
        <v>1002</v>
      </c>
      <c r="I1035" s="256"/>
      <c r="J1035" s="256"/>
      <c r="K1035" s="568">
        <v>3580000</v>
      </c>
      <c r="L1035" s="39" t="s">
        <v>167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>154</v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15">
        <v>2</v>
      </c>
    </row>
    <row r="1036" spans="1:29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5"/>
        <v>6</v>
      </c>
      <c r="C1036" s="37">
        <f t="shared" si="96"/>
        <v>41813</v>
      </c>
      <c r="D1036" s="37"/>
      <c r="E1036" s="37">
        <v>41813</v>
      </c>
      <c r="F1036" s="192" t="s">
        <v>1003</v>
      </c>
      <c r="G1036" s="468" t="s">
        <v>716</v>
      </c>
      <c r="H1036" s="7" t="s">
        <v>1002</v>
      </c>
      <c r="I1036" s="256"/>
      <c r="J1036" s="256"/>
      <c r="K1036" s="568">
        <v>358000</v>
      </c>
      <c r="L1036" s="39" t="s">
        <v>9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15">
        <v>2</v>
      </c>
    </row>
    <row r="1037" spans="1:29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5"/>
        <v>6</v>
      </c>
      <c r="C1037" s="37">
        <f t="shared" si="96"/>
        <v>41814</v>
      </c>
      <c r="D1037" s="37"/>
      <c r="E1037" s="37">
        <v>41814</v>
      </c>
      <c r="F1037" s="189" t="s">
        <v>995</v>
      </c>
      <c r="G1037" s="468" t="s">
        <v>1193</v>
      </c>
      <c r="H1037" s="7" t="s">
        <v>997</v>
      </c>
      <c r="I1037" s="256"/>
      <c r="J1037" s="256"/>
      <c r="K1037" s="568">
        <v>1247712</v>
      </c>
      <c r="L1037" s="39" t="s">
        <v>83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>642</v>
      </c>
      <c r="W1037" s="52" t="str">
        <f>IF(OR(TH!L1037=TH!$W$7,M1037=TH!$W$7),"x","")</f>
        <v>x</v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15">
        <v>2</v>
      </c>
    </row>
    <row r="1038" spans="1:29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5"/>
        <v>6</v>
      </c>
      <c r="C1038" s="37">
        <f t="shared" si="96"/>
        <v>41814</v>
      </c>
      <c r="D1038" s="37"/>
      <c r="E1038" s="37">
        <v>41814</v>
      </c>
      <c r="F1038" s="189" t="s">
        <v>996</v>
      </c>
      <c r="G1038" s="468" t="s">
        <v>1193</v>
      </c>
      <c r="H1038" s="7" t="s">
        <v>997</v>
      </c>
      <c r="I1038" s="256"/>
      <c r="J1038" s="256"/>
      <c r="K1038" s="568">
        <v>124771</v>
      </c>
      <c r="L1038" s="39" t="s">
        <v>9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15">
        <v>2</v>
      </c>
    </row>
    <row r="1039" spans="1:29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ref="B1039:B1108" si="108">IF(C1039&lt;&gt;"",MONTH(C1039),"")</f>
        <v>6</v>
      </c>
      <c r="C1039" s="191">
        <f t="shared" ref="C1039:C1108" si="109">E1039</f>
        <v>41820</v>
      </c>
      <c r="D1039" s="191" t="s">
        <v>1222</v>
      </c>
      <c r="E1039" s="191">
        <v>41820</v>
      </c>
      <c r="F1039" s="296" t="s">
        <v>1080</v>
      </c>
      <c r="G1039" s="468" t="s">
        <v>1079</v>
      </c>
      <c r="H1039" s="7" t="s">
        <v>1078</v>
      </c>
      <c r="I1039" s="256">
        <v>10230</v>
      </c>
      <c r="J1039" s="256">
        <v>8500</v>
      </c>
      <c r="K1039" s="568">
        <f>ROUND(I1039*J1039,0)</f>
        <v>86955000</v>
      </c>
      <c r="L1039" s="39" t="s">
        <v>159</v>
      </c>
      <c r="M1039" s="39" t="s">
        <v>8</v>
      </c>
      <c r="N1039" s="52" t="str">
        <f>IF(AND('331-CT'!$E$7=TH!H1039,OR(L1039="331",M1039="331")),"331",IF(AND(OR(L1039="131",M1039="131"),H1039='131-CT'!$E$7),"131",""))</f>
        <v/>
      </c>
      <c r="O1039" s="89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>x</v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15">
        <v>2</v>
      </c>
      <c r="AC1039" s="211" t="str">
        <f>IF(H1039=VLOOKUP(H1039,DSKH,1,0),"","x")</f>
        <v/>
      </c>
    </row>
    <row r="1040" spans="1:29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108"/>
        <v>6</v>
      </c>
      <c r="C1040" s="191">
        <f t="shared" si="109"/>
        <v>41820</v>
      </c>
      <c r="D1040" s="191" t="s">
        <v>1222</v>
      </c>
      <c r="E1040" s="191">
        <v>41820</v>
      </c>
      <c r="F1040" s="296" t="s">
        <v>1081</v>
      </c>
      <c r="G1040" s="468" t="s">
        <v>1079</v>
      </c>
      <c r="H1040" s="7" t="s">
        <v>1078</v>
      </c>
      <c r="I1040" s="256"/>
      <c r="J1040" s="256"/>
      <c r="K1040" s="568">
        <v>8695500</v>
      </c>
      <c r="L1040" s="39" t="s">
        <v>9</v>
      </c>
      <c r="M1040" s="39" t="s">
        <v>8</v>
      </c>
      <c r="N1040" s="52" t="str">
        <f>IF(AND('331-CT'!$E$7=TH!H1040,OR(L1040="331",M1040="331")),"331",IF(AND(OR(L1040="131",M1040="131"),H1040='131-CT'!$E$7),"131",""))</f>
        <v/>
      </c>
      <c r="O1040" s="89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15">
        <v>2</v>
      </c>
      <c r="AC1040" s="211" t="str">
        <f>IF(H1040=VLOOKUP(H1040,DSKH,1,0),"","x")</f>
        <v/>
      </c>
    </row>
    <row r="1041" spans="1:31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108"/>
        <v>7</v>
      </c>
      <c r="C1041" s="191">
        <f t="shared" si="109"/>
        <v>41821</v>
      </c>
      <c r="D1041" s="191" t="s">
        <v>1212</v>
      </c>
      <c r="E1041" s="191">
        <v>41821</v>
      </c>
      <c r="F1041" s="189" t="s">
        <v>330</v>
      </c>
      <c r="G1041" s="468" t="s">
        <v>1013</v>
      </c>
      <c r="H1041" s="7" t="s">
        <v>351</v>
      </c>
      <c r="I1041" s="256">
        <v>24</v>
      </c>
      <c r="J1041" s="256">
        <v>45000</v>
      </c>
      <c r="K1041" s="568">
        <f>ROUND(I1041*J1041,0)</f>
        <v>1080000</v>
      </c>
      <c r="L1041" s="39" t="s">
        <v>161</v>
      </c>
      <c r="M1041" s="39" t="s">
        <v>8</v>
      </c>
      <c r="N1041" s="52" t="str">
        <f>IF(AND('331-CT'!$E$7=TH!H1041,OR(L1041="331",M1041="331")),"331",IF(AND(OR(L1041="131",M1041="131"),H1041='131-CT'!$E$7),"131",""))</f>
        <v/>
      </c>
      <c r="O1041" s="89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15">
        <v>3</v>
      </c>
      <c r="AC1041" s="211" t="str">
        <f>IF(H1041=VLOOKUP(H1041,DSKH,1,0),"","x")</f>
        <v/>
      </c>
    </row>
    <row r="1042" spans="1:31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108"/>
        <v>7</v>
      </c>
      <c r="C1042" s="191">
        <f t="shared" si="109"/>
        <v>41821</v>
      </c>
      <c r="D1042" s="191" t="s">
        <v>1212</v>
      </c>
      <c r="E1042" s="191">
        <v>41821</v>
      </c>
      <c r="F1042" s="189" t="s">
        <v>1012</v>
      </c>
      <c r="G1042" s="468" t="s">
        <v>1013</v>
      </c>
      <c r="H1042" s="7" t="s">
        <v>351</v>
      </c>
      <c r="I1042" s="256"/>
      <c r="J1042" s="256"/>
      <c r="K1042" s="568">
        <v>108000</v>
      </c>
      <c r="L1042" s="39" t="s">
        <v>9</v>
      </c>
      <c r="M1042" s="39" t="s">
        <v>8</v>
      </c>
      <c r="N1042" s="52" t="str">
        <f>IF(AND('331-CT'!$E$7=TH!H1042,OR(L1042="331",M1042="331")),"331",IF(AND(OR(L1042="131",M1042="131"),H1042='131-CT'!$E$7),"131",""))</f>
        <v/>
      </c>
      <c r="O1042" s="89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15">
        <v>3</v>
      </c>
      <c r="AC1042" s="211" t="str">
        <f>IF(H1042=VLOOKUP(H1042,DSKH,1,0),"","x")</f>
        <v/>
      </c>
    </row>
    <row r="1043" spans="1:31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108"/>
        <v>7</v>
      </c>
      <c r="C1043" s="191">
        <f t="shared" si="109"/>
        <v>41821</v>
      </c>
      <c r="D1043" s="191"/>
      <c r="E1043" s="191">
        <v>41821</v>
      </c>
      <c r="F1043" s="189" t="s">
        <v>895</v>
      </c>
      <c r="G1043" s="468" t="s">
        <v>1013</v>
      </c>
      <c r="H1043" s="7" t="s">
        <v>351</v>
      </c>
      <c r="I1043" s="256"/>
      <c r="J1043" s="256"/>
      <c r="K1043" s="568">
        <v>1188000</v>
      </c>
      <c r="L1043" s="39" t="s">
        <v>8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6" t="str">
        <f>IF(AND('341-CT'!$E$9=H1043,OR(LEFT(L1043,3)=$O$7,LEFT(M1043,3)=$O$7)),"x","")</f>
        <v/>
      </c>
      <c r="P1043" s="52" t="str">
        <f>IF(AND($B1043&gt;='111'!$N$11,$B1043&lt;='111'!$O$11,OR($L1043=$P$7,$M1043=$P$7)),"x","")</f>
        <v>x</v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15"/>
    </row>
    <row r="1044" spans="1:31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108"/>
        <v>7</v>
      </c>
      <c r="C1044" s="191">
        <f t="shared" si="109"/>
        <v>41821</v>
      </c>
      <c r="D1044" s="184"/>
      <c r="E1044" s="37">
        <v>41821</v>
      </c>
      <c r="F1044" s="189" t="s">
        <v>1068</v>
      </c>
      <c r="G1044" s="570"/>
      <c r="H1044" s="45" t="s">
        <v>1065</v>
      </c>
      <c r="I1044" s="256"/>
      <c r="J1044" s="256"/>
      <c r="K1044" s="816">
        <v>731479</v>
      </c>
      <c r="L1044" s="569" t="s">
        <v>61</v>
      </c>
      <c r="M1044" s="569" t="s">
        <v>47</v>
      </c>
      <c r="N1044" s="52" t="str">
        <f>IF(AND('331-CT'!$E$7=TH!H1044,OR(L1044="331",M1044="331")),"331",IF(AND(OR(L1044="131",M1044="131"),H1044='131-CT'!$E$7),"131",""))</f>
        <v/>
      </c>
      <c r="O1044" s="896" t="str">
        <f>IF(AND('341-CT'!$E$9=H1044,OR(LEFT(L1044,3)=$O$7,LEFT(M1044,3)=$O$7)),"x","")</f>
        <v/>
      </c>
      <c r="P1044" s="52" t="str">
        <f>IF(AND($B1044&gt;='111'!$N$11,$B1044&lt;='111'!$O$11,OR($L1044=$P$7,$M1044=$P$7)),"x","")</f>
        <v>x</v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15"/>
      <c r="AC1044" s="560"/>
      <c r="AD1044" s="560"/>
      <c r="AE1044" s="560"/>
    </row>
    <row r="1045" spans="1:31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108"/>
        <v>7</v>
      </c>
      <c r="C1045" s="191">
        <f t="shared" si="109"/>
        <v>41821</v>
      </c>
      <c r="D1045" s="191"/>
      <c r="E1045" s="37">
        <v>41821</v>
      </c>
      <c r="F1045" s="189" t="s">
        <v>1067</v>
      </c>
      <c r="G1045" s="468"/>
      <c r="H1045" s="45" t="s">
        <v>1065</v>
      </c>
      <c r="I1045" s="256"/>
      <c r="J1045" s="256"/>
      <c r="K1045" s="568">
        <f>12002098+1654715</f>
        <v>13656813</v>
      </c>
      <c r="L1045" s="569" t="s">
        <v>17</v>
      </c>
      <c r="M1045" s="569" t="s">
        <v>47</v>
      </c>
      <c r="N1045" s="52" t="str">
        <f>IF(AND('331-CT'!$E$7=TH!H1045,OR(L1045="331",M1045="331")),"331",IF(AND(OR(L1045="131",M1045="131"),H1045='131-CT'!$E$7),"131",""))</f>
        <v/>
      </c>
      <c r="O1045" s="896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15"/>
    </row>
    <row r="1046" spans="1:31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108"/>
        <v>7</v>
      </c>
      <c r="C1046" s="191">
        <f t="shared" si="109"/>
        <v>41821</v>
      </c>
      <c r="D1046" s="191"/>
      <c r="E1046" s="37">
        <v>41821</v>
      </c>
      <c r="F1046" s="192" t="s">
        <v>1069</v>
      </c>
      <c r="G1046" s="468"/>
      <c r="H1046" s="45" t="s">
        <v>1065</v>
      </c>
      <c r="I1046" s="256"/>
      <c r="J1046" s="256"/>
      <c r="K1046" s="568">
        <v>1611708</v>
      </c>
      <c r="L1046" s="569" t="s">
        <v>87</v>
      </c>
      <c r="M1046" s="569" t="s">
        <v>47</v>
      </c>
      <c r="N1046" s="52" t="str">
        <f>IF(AND('331-CT'!$E$7=TH!H1046,OR(L1046="331",M1046="331")),"331",IF(AND(OR(L1046="131",M1046="131"),H1046='131-CT'!$E$7),"131",""))</f>
        <v/>
      </c>
      <c r="O1046" s="896" t="str">
        <f>IF(AND('341-CT'!$E$9=H1046,OR(LEFT(L1046,3)=$O$7,LEFT(M1046,3)=$O$7)),"x","")</f>
        <v/>
      </c>
      <c r="P1046" s="52" t="str">
        <f>IF(AND($B1046&gt;='111'!$N$11,$B1046&lt;='111'!$O$11,OR($L1046=$P$7,$M1046=$P$7)),"x","")</f>
        <v>x</v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15"/>
    </row>
    <row r="1047" spans="1:31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108"/>
        <v>7</v>
      </c>
      <c r="C1047" s="37">
        <f t="shared" si="109"/>
        <v>41823</v>
      </c>
      <c r="D1047" s="191" t="s">
        <v>1213</v>
      </c>
      <c r="E1047" s="730">
        <v>41823</v>
      </c>
      <c r="F1047" s="296" t="s">
        <v>1080</v>
      </c>
      <c r="G1047" s="467" t="s">
        <v>1086</v>
      </c>
      <c r="H1047" s="7" t="s">
        <v>1082</v>
      </c>
      <c r="I1047" s="256">
        <v>7379</v>
      </c>
      <c r="J1047" s="256">
        <v>7500</v>
      </c>
      <c r="K1047" s="568">
        <f>ROUND(I1047*J1047,0)</f>
        <v>55342500</v>
      </c>
      <c r="L1047" s="39" t="s">
        <v>159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89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>x</v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15">
        <v>3</v>
      </c>
      <c r="AC1047" s="211" t="str">
        <f t="shared" ref="AC1047:AC1067" si="110">IF(H1047=VLOOKUP(H1047,DSKH,1,0),"","x")</f>
        <v/>
      </c>
    </row>
    <row r="1048" spans="1:31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108"/>
        <v>7</v>
      </c>
      <c r="C1048" s="37">
        <f t="shared" si="109"/>
        <v>41823</v>
      </c>
      <c r="D1048" s="191" t="s">
        <v>1213</v>
      </c>
      <c r="E1048" s="730">
        <v>41823</v>
      </c>
      <c r="F1048" s="296" t="s">
        <v>1080</v>
      </c>
      <c r="G1048" s="467" t="s">
        <v>1086</v>
      </c>
      <c r="H1048" s="7" t="s">
        <v>1082</v>
      </c>
      <c r="I1048" s="256">
        <v>5973</v>
      </c>
      <c r="J1048" s="256">
        <v>7200</v>
      </c>
      <c r="K1048" s="568">
        <f>ROUND(I1048*J1048,0)</f>
        <v>43005600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>x</v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15">
        <v>3</v>
      </c>
      <c r="AC1048" s="211" t="str">
        <f t="shared" si="110"/>
        <v/>
      </c>
    </row>
    <row r="1049" spans="1:31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108"/>
        <v>7</v>
      </c>
      <c r="C1049" s="37">
        <f t="shared" si="109"/>
        <v>41823</v>
      </c>
      <c r="D1049" s="191" t="s">
        <v>1213</v>
      </c>
      <c r="E1049" s="730">
        <v>41823</v>
      </c>
      <c r="F1049" s="296" t="s">
        <v>1081</v>
      </c>
      <c r="G1049" s="467" t="s">
        <v>1086</v>
      </c>
      <c r="H1049" s="7" t="s">
        <v>1082</v>
      </c>
      <c r="I1049" s="256"/>
      <c r="J1049" s="256"/>
      <c r="K1049" s="568">
        <v>9834810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15">
        <v>3</v>
      </c>
      <c r="AC1049" s="211" t="str">
        <f t="shared" si="110"/>
        <v/>
      </c>
    </row>
    <row r="1050" spans="1:31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108"/>
        <v>7</v>
      </c>
      <c r="C1050" s="37">
        <f t="shared" si="109"/>
        <v>41826</v>
      </c>
      <c r="D1050" s="191" t="s">
        <v>1214</v>
      </c>
      <c r="E1050" s="730">
        <v>41826</v>
      </c>
      <c r="F1050" s="296" t="s">
        <v>1080</v>
      </c>
      <c r="G1050" s="468" t="s">
        <v>1088</v>
      </c>
      <c r="H1050" s="7" t="s">
        <v>1078</v>
      </c>
      <c r="I1050" s="256">
        <v>9665</v>
      </c>
      <c r="J1050" s="256">
        <v>8500</v>
      </c>
      <c r="K1050" s="568">
        <f>ROUND(I1050*J1050,0)</f>
        <v>82152500</v>
      </c>
      <c r="L1050" s="39" t="s">
        <v>159</v>
      </c>
      <c r="M1050" s="39" t="s">
        <v>8</v>
      </c>
      <c r="N1050" s="52" t="str">
        <f>IF(AND('331-CT'!$E$7=TH!H1050,OR(L1050="331",M1050="331")),"331",IF(AND(OR(L1050="131",M1050="131"),H1050='131-CT'!$E$7),"131",""))</f>
        <v/>
      </c>
      <c r="O1050" s="89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>x</v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15">
        <v>3</v>
      </c>
      <c r="AC1050" s="211" t="str">
        <f t="shared" si="110"/>
        <v/>
      </c>
    </row>
    <row r="1051" spans="1:31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108"/>
        <v>7</v>
      </c>
      <c r="C1051" s="37">
        <f t="shared" si="109"/>
        <v>41826</v>
      </c>
      <c r="D1051" s="191" t="s">
        <v>1214</v>
      </c>
      <c r="E1051" s="730">
        <v>41826</v>
      </c>
      <c r="F1051" s="296" t="s">
        <v>1081</v>
      </c>
      <c r="G1051" s="468" t="s">
        <v>1088</v>
      </c>
      <c r="H1051" s="7" t="s">
        <v>1078</v>
      </c>
      <c r="I1051" s="256"/>
      <c r="J1051" s="256"/>
      <c r="K1051" s="568">
        <v>8215250</v>
      </c>
      <c r="L1051" s="39" t="s">
        <v>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89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15">
        <v>3</v>
      </c>
      <c r="AC1051" s="211" t="str">
        <f t="shared" si="110"/>
        <v/>
      </c>
    </row>
    <row r="1052" spans="1:31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108"/>
        <v>7</v>
      </c>
      <c r="C1052" s="37">
        <f t="shared" si="109"/>
        <v>41827</v>
      </c>
      <c r="D1052" s="191" t="s">
        <v>1215</v>
      </c>
      <c r="E1052" s="730">
        <v>41827</v>
      </c>
      <c r="F1052" s="296" t="s">
        <v>1084</v>
      </c>
      <c r="G1052" s="467" t="s">
        <v>1083</v>
      </c>
      <c r="H1052" s="7" t="s">
        <v>1082</v>
      </c>
      <c r="I1052" s="256">
        <v>10578</v>
      </c>
      <c r="J1052" s="256">
        <v>9500</v>
      </c>
      <c r="K1052" s="568">
        <f>ROUND(I1052*J1052,0)</f>
        <v>100491000</v>
      </c>
      <c r="L1052" s="39" t="s">
        <v>159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89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15">
        <v>3</v>
      </c>
      <c r="AC1052" s="211" t="str">
        <f t="shared" si="110"/>
        <v/>
      </c>
    </row>
    <row r="1053" spans="1:31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108"/>
        <v>7</v>
      </c>
      <c r="C1053" s="37">
        <f t="shared" si="109"/>
        <v>41827</v>
      </c>
      <c r="D1053" s="191" t="s">
        <v>1215</v>
      </c>
      <c r="E1053" s="730">
        <v>41827</v>
      </c>
      <c r="F1053" s="40" t="s">
        <v>1085</v>
      </c>
      <c r="G1053" s="467" t="s">
        <v>1083</v>
      </c>
      <c r="H1053" s="7" t="s">
        <v>1082</v>
      </c>
      <c r="I1053" s="256">
        <v>2730</v>
      </c>
      <c r="J1053" s="256">
        <v>9200</v>
      </c>
      <c r="K1053" s="568">
        <f>ROUND(I1053*J1053,0)</f>
        <v>25116000</v>
      </c>
      <c r="L1053" s="39" t="s">
        <v>159</v>
      </c>
      <c r="M1053" s="39" t="s">
        <v>8</v>
      </c>
      <c r="N1053" s="52" t="str">
        <f>IF(AND('331-CT'!$E$7=TH!H1053,OR(L1053="331",M1053="331")),"331",IF(AND(OR(L1053="131",M1053="131"),H1053='131-CT'!$E$7),"131",""))</f>
        <v/>
      </c>
      <c r="O1053" s="89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15">
        <v>3</v>
      </c>
      <c r="AC1053" s="211" t="str">
        <f t="shared" si="110"/>
        <v/>
      </c>
    </row>
    <row r="1054" spans="1:31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108"/>
        <v>7</v>
      </c>
      <c r="C1054" s="37">
        <f t="shared" si="109"/>
        <v>41827</v>
      </c>
      <c r="D1054" s="191" t="s">
        <v>1215</v>
      </c>
      <c r="E1054" s="730">
        <v>41827</v>
      </c>
      <c r="F1054" s="40" t="s">
        <v>679</v>
      </c>
      <c r="G1054" s="467" t="s">
        <v>1083</v>
      </c>
      <c r="H1054" s="7" t="s">
        <v>1082</v>
      </c>
      <c r="I1054" s="256"/>
      <c r="J1054" s="256"/>
      <c r="K1054" s="568">
        <v>12560700</v>
      </c>
      <c r="L1054" s="39" t="s">
        <v>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15">
        <v>3</v>
      </c>
      <c r="AC1054" s="211" t="str">
        <f t="shared" si="110"/>
        <v/>
      </c>
    </row>
    <row r="1055" spans="1:31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108"/>
        <v>7</v>
      </c>
      <c r="C1055" s="37">
        <f t="shared" si="109"/>
        <v>41830</v>
      </c>
      <c r="D1055" s="191" t="s">
        <v>1216</v>
      </c>
      <c r="E1055" s="730">
        <v>41830</v>
      </c>
      <c r="F1055" s="296" t="s">
        <v>1080</v>
      </c>
      <c r="G1055" s="468" t="s">
        <v>1089</v>
      </c>
      <c r="H1055" s="7" t="s">
        <v>1078</v>
      </c>
      <c r="I1055" s="256">
        <v>15247</v>
      </c>
      <c r="J1055" s="256">
        <v>8500</v>
      </c>
      <c r="K1055" s="568">
        <f>ROUND(I1055*J1055,0)</f>
        <v>129599500</v>
      </c>
      <c r="L1055" s="39" t="s">
        <v>159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>x</v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15">
        <v>3</v>
      </c>
      <c r="AC1055" s="211" t="str">
        <f t="shared" si="110"/>
        <v/>
      </c>
    </row>
    <row r="1056" spans="1:31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108"/>
        <v>7</v>
      </c>
      <c r="C1056" s="37">
        <f t="shared" si="109"/>
        <v>41830</v>
      </c>
      <c r="D1056" s="191" t="s">
        <v>1216</v>
      </c>
      <c r="E1056" s="730">
        <v>41830</v>
      </c>
      <c r="F1056" s="296" t="s">
        <v>1081</v>
      </c>
      <c r="G1056" s="468" t="s">
        <v>1089</v>
      </c>
      <c r="H1056" s="7" t="s">
        <v>1078</v>
      </c>
      <c r="I1056" s="256"/>
      <c r="J1056" s="256"/>
      <c r="K1056" s="568">
        <v>12959950</v>
      </c>
      <c r="L1056" s="39" t="s">
        <v>9</v>
      </c>
      <c r="M1056" s="39" t="s">
        <v>8</v>
      </c>
      <c r="N1056" s="52" t="str">
        <f>IF(AND('331-CT'!$E$7=TH!H1056,OR(L1056="331",M1056="331")),"331",IF(AND(OR(L1056="131",M1056="131"),H1056='131-CT'!$E$7),"131",""))</f>
        <v/>
      </c>
      <c r="O1056" s="89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15">
        <v>3</v>
      </c>
      <c r="AC1056" s="211" t="str">
        <f t="shared" si="110"/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108"/>
        <v>7</v>
      </c>
      <c r="C1057" s="191">
        <f t="shared" si="109"/>
        <v>41832</v>
      </c>
      <c r="D1057" s="191" t="s">
        <v>1217</v>
      </c>
      <c r="E1057" s="191">
        <v>41832</v>
      </c>
      <c r="F1057" s="192" t="s">
        <v>1016</v>
      </c>
      <c r="G1057" s="468" t="s">
        <v>1015</v>
      </c>
      <c r="H1057" s="7" t="s">
        <v>1014</v>
      </c>
      <c r="I1057" s="256">
        <v>1777</v>
      </c>
      <c r="J1057" s="256">
        <v>9450</v>
      </c>
      <c r="K1057" s="568">
        <f>ROUND(I1057*J1057,0)</f>
        <v>16792650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15">
        <v>3</v>
      </c>
      <c r="AC1057" s="211" t="str">
        <f t="shared" si="110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111">IF(C1058&lt;&gt;"",MONTH(C1058),"")</f>
        <v>7</v>
      </c>
      <c r="C1058" s="191">
        <f t="shared" ref="C1058" si="112">E1058</f>
        <v>41832</v>
      </c>
      <c r="D1058" s="191" t="s">
        <v>1217</v>
      </c>
      <c r="E1058" s="191">
        <v>41832</v>
      </c>
      <c r="F1058" s="192" t="s">
        <v>1017</v>
      </c>
      <c r="G1058" s="468" t="s">
        <v>1015</v>
      </c>
      <c r="H1058" s="7" t="s">
        <v>1014</v>
      </c>
      <c r="I1058" s="256"/>
      <c r="J1058" s="256"/>
      <c r="K1058" s="568">
        <v>1679265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15">
        <v>3</v>
      </c>
      <c r="AC1058" s="211" t="str">
        <f t="shared" ref="AC1058" si="113">IF(H1058=VLOOKUP(H1058,DSKH,1,0),"","x")</f>
        <v/>
      </c>
    </row>
    <row r="1059" spans="1:29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108"/>
        <v>7</v>
      </c>
      <c r="C1059" s="191">
        <f t="shared" si="109"/>
        <v>41832</v>
      </c>
      <c r="D1059" s="191" t="s">
        <v>1217</v>
      </c>
      <c r="E1059" s="191">
        <v>41832</v>
      </c>
      <c r="F1059" s="189" t="s">
        <v>895</v>
      </c>
      <c r="G1059" s="468" t="s">
        <v>1015</v>
      </c>
      <c r="H1059" s="7" t="s">
        <v>1014</v>
      </c>
      <c r="I1059" s="256"/>
      <c r="J1059" s="256"/>
      <c r="K1059" s="568">
        <v>18471915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6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15"/>
      <c r="AC1059" s="211" t="str">
        <f t="shared" si="110"/>
        <v/>
      </c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108"/>
        <v>7</v>
      </c>
      <c r="C1060" s="37">
        <f t="shared" si="109"/>
        <v>41834</v>
      </c>
      <c r="D1060" s="191" t="s">
        <v>1218</v>
      </c>
      <c r="E1060" s="730">
        <v>41834</v>
      </c>
      <c r="F1060" s="296" t="s">
        <v>1084</v>
      </c>
      <c r="G1060" s="467" t="s">
        <v>1087</v>
      </c>
      <c r="H1060" s="7" t="s">
        <v>1082</v>
      </c>
      <c r="I1060" s="256">
        <v>1629</v>
      </c>
      <c r="J1060" s="256">
        <v>9500</v>
      </c>
      <c r="K1060" s="568">
        <f>ROUND(I1060*J1060,0)</f>
        <v>15475500</v>
      </c>
      <c r="L1060" s="39" t="s">
        <v>159</v>
      </c>
      <c r="M1060" s="39" t="s">
        <v>8</v>
      </c>
      <c r="N1060" s="52" t="str">
        <f>IF(AND('331-CT'!$E$7=TH!H1060,OR(L1060="331",M1060="331")),"331",IF(AND(OR(L1060="131",M1060="131"),H1060='131-CT'!$E$7),"131",""))</f>
        <v/>
      </c>
      <c r="O1060" s="89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15">
        <v>3</v>
      </c>
      <c r="AC1060" s="211" t="str">
        <f t="shared" si="110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108"/>
        <v>7</v>
      </c>
      <c r="C1061" s="37">
        <f t="shared" si="109"/>
        <v>41834</v>
      </c>
      <c r="D1061" s="191" t="s">
        <v>1218</v>
      </c>
      <c r="E1061" s="730">
        <v>41834</v>
      </c>
      <c r="F1061" s="296" t="s">
        <v>1080</v>
      </c>
      <c r="G1061" s="467" t="s">
        <v>1087</v>
      </c>
      <c r="H1061" s="7" t="s">
        <v>1082</v>
      </c>
      <c r="I1061" s="256">
        <v>1663</v>
      </c>
      <c r="J1061" s="256">
        <v>7200</v>
      </c>
      <c r="K1061" s="568">
        <f>ROUND(I1061*J1061,0)</f>
        <v>11973600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>x</v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15">
        <v>3</v>
      </c>
      <c r="AC1061" s="211" t="str">
        <f t="shared" si="110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108"/>
        <v>7</v>
      </c>
      <c r="C1062" s="37">
        <f t="shared" si="109"/>
        <v>41834</v>
      </c>
      <c r="D1062" s="191" t="s">
        <v>1218</v>
      </c>
      <c r="E1062" s="730">
        <v>41834</v>
      </c>
      <c r="F1062" s="296" t="s">
        <v>1080</v>
      </c>
      <c r="G1062" s="467" t="s">
        <v>1087</v>
      </c>
      <c r="H1062" s="7" t="s">
        <v>1082</v>
      </c>
      <c r="I1062" s="256">
        <v>1821</v>
      </c>
      <c r="J1062" s="256">
        <v>7500</v>
      </c>
      <c r="K1062" s="568">
        <f>ROUND(I1062*J1062,0)</f>
        <v>13657500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>x</v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15">
        <v>3</v>
      </c>
      <c r="AC1062" s="211" t="str">
        <f t="shared" si="110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108"/>
        <v>7</v>
      </c>
      <c r="C1063" s="37">
        <f t="shared" si="109"/>
        <v>41834</v>
      </c>
      <c r="D1063" s="191" t="s">
        <v>1218</v>
      </c>
      <c r="E1063" s="730">
        <v>41834</v>
      </c>
      <c r="F1063" s="40" t="s">
        <v>679</v>
      </c>
      <c r="G1063" s="467" t="s">
        <v>1087</v>
      </c>
      <c r="H1063" s="7" t="s">
        <v>1082</v>
      </c>
      <c r="I1063" s="256"/>
      <c r="J1063" s="256"/>
      <c r="K1063" s="568">
        <v>4110660</v>
      </c>
      <c r="L1063" s="39" t="s">
        <v>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15">
        <v>3</v>
      </c>
      <c r="AC1063" s="211" t="str">
        <f t="shared" si="110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108"/>
        <v>7</v>
      </c>
      <c r="C1064" s="37">
        <f t="shared" si="109"/>
        <v>41834</v>
      </c>
      <c r="D1064" s="191" t="s">
        <v>1219</v>
      </c>
      <c r="E1064" s="730">
        <v>41834</v>
      </c>
      <c r="F1064" s="192" t="s">
        <v>1016</v>
      </c>
      <c r="G1064" s="468" t="s">
        <v>1090</v>
      </c>
      <c r="H1064" s="7" t="s">
        <v>1014</v>
      </c>
      <c r="I1064" s="256">
        <v>4879</v>
      </c>
      <c r="J1064" s="256">
        <v>9600</v>
      </c>
      <c r="K1064" s="568">
        <f>ROUND(I1064*J1064,0)</f>
        <v>46838400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15">
        <v>3</v>
      </c>
      <c r="AC1064" s="211" t="str">
        <f t="shared" si="110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108"/>
        <v>7</v>
      </c>
      <c r="C1065" s="37">
        <f t="shared" si="109"/>
        <v>41834</v>
      </c>
      <c r="D1065" s="191" t="s">
        <v>1219</v>
      </c>
      <c r="E1065" s="730">
        <v>41834</v>
      </c>
      <c r="F1065" s="192" t="s">
        <v>1017</v>
      </c>
      <c r="G1065" s="468" t="s">
        <v>1090</v>
      </c>
      <c r="H1065" s="7" t="s">
        <v>1014</v>
      </c>
      <c r="I1065" s="256"/>
      <c r="J1065" s="256"/>
      <c r="K1065" s="568">
        <v>4683840</v>
      </c>
      <c r="L1065" s="39" t="s">
        <v>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15">
        <v>3</v>
      </c>
      <c r="AC1065" s="211" t="str">
        <f t="shared" si="110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108"/>
        <v>7</v>
      </c>
      <c r="C1066" s="37">
        <f t="shared" si="109"/>
        <v>41835</v>
      </c>
      <c r="D1066" s="191" t="s">
        <v>1220</v>
      </c>
      <c r="E1066" s="184">
        <v>41835</v>
      </c>
      <c r="F1066" s="296" t="s">
        <v>1080</v>
      </c>
      <c r="G1066" s="468" t="s">
        <v>1092</v>
      </c>
      <c r="H1066" s="7" t="s">
        <v>1078</v>
      </c>
      <c r="I1066" s="256">
        <v>9240</v>
      </c>
      <c r="J1066" s="256">
        <v>8500</v>
      </c>
      <c r="K1066" s="568">
        <f>ROUND(I1066*J1066,0)</f>
        <v>78540000</v>
      </c>
      <c r="L1066" s="39" t="s">
        <v>159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>x</v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15">
        <v>3</v>
      </c>
      <c r="AC1066" s="211" t="str">
        <f t="shared" si="110"/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108"/>
        <v>7</v>
      </c>
      <c r="C1067" s="37">
        <f t="shared" si="109"/>
        <v>41835</v>
      </c>
      <c r="D1067" s="191" t="s">
        <v>1220</v>
      </c>
      <c r="E1067" s="184">
        <v>41835</v>
      </c>
      <c r="F1067" s="296" t="s">
        <v>1081</v>
      </c>
      <c r="G1067" s="468" t="s">
        <v>1092</v>
      </c>
      <c r="H1067" s="7" t="s">
        <v>1078</v>
      </c>
      <c r="I1067" s="256"/>
      <c r="J1067" s="256"/>
      <c r="K1067" s="568">
        <v>7854000</v>
      </c>
      <c r="L1067" s="39" t="s">
        <v>9</v>
      </c>
      <c r="M1067" s="39" t="s">
        <v>8</v>
      </c>
      <c r="N1067" s="52" t="str">
        <f>IF(AND('331-CT'!$E$7=TH!H1067,OR(L1067="331",M1067="331")),"331",IF(AND(OR(L1067="131",M1067="131"),H1067='131-CT'!$E$7),"131",""))</f>
        <v/>
      </c>
      <c r="O1067" s="89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15">
        <v>3</v>
      </c>
      <c r="AC1067" s="211" t="str">
        <f t="shared" si="110"/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108"/>
        <v>7</v>
      </c>
      <c r="C1068" s="191">
        <f t="shared" si="109"/>
        <v>41836</v>
      </c>
      <c r="D1068" s="191"/>
      <c r="E1068" s="191">
        <v>41836</v>
      </c>
      <c r="F1068" s="189" t="s">
        <v>993</v>
      </c>
      <c r="G1068" s="468" t="s">
        <v>1018</v>
      </c>
      <c r="H1068" s="7" t="s">
        <v>992</v>
      </c>
      <c r="I1068" s="256"/>
      <c r="J1068" s="256"/>
      <c r="K1068" s="568">
        <f>654373+201215+205950</f>
        <v>1061538</v>
      </c>
      <c r="L1068" s="39" t="s">
        <v>83</v>
      </c>
      <c r="M1068" s="39" t="s">
        <v>47</v>
      </c>
      <c r="N1068" s="52" t="str">
        <f>IF(AND('331-CT'!$E$7=TH!H1068,OR(L1068="331",M1068="331")),"331",IF(AND(OR(L1068="131",M1068="131"),H1068='131-CT'!$E$7),"131",""))</f>
        <v/>
      </c>
      <c r="O1068" s="896" t="str">
        <f>IF(AND('341-CT'!$E$9=H1068,OR(LEFT(L1068,3)=$O$7,LEFT(M1068,3)=$O$7)),"x","")</f>
        <v/>
      </c>
      <c r="P1068" s="52" t="str">
        <f>IF(AND($B1068&gt;='111'!$N$11,$B1068&lt;='111'!$O$11,OR($L1068=$P$7,$M1068=$P$7)),"x","")</f>
        <v>x</v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>x</v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15">
        <v>3</v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108"/>
        <v>7</v>
      </c>
      <c r="C1069" s="191">
        <f t="shared" si="109"/>
        <v>41836</v>
      </c>
      <c r="D1069" s="191"/>
      <c r="E1069" s="191">
        <v>41836</v>
      </c>
      <c r="F1069" s="189" t="s">
        <v>994</v>
      </c>
      <c r="G1069" s="468" t="s">
        <v>1018</v>
      </c>
      <c r="H1069" s="7" t="s">
        <v>992</v>
      </c>
      <c r="I1069" s="256"/>
      <c r="J1069" s="256"/>
      <c r="K1069" s="568">
        <f>65437+20122+20595</f>
        <v>106154</v>
      </c>
      <c r="L1069" s="39" t="s">
        <v>9</v>
      </c>
      <c r="M1069" s="39" t="s">
        <v>47</v>
      </c>
      <c r="N1069" s="52" t="str">
        <f>IF(AND('331-CT'!$E$7=TH!H1069,OR(L1069="331",M1069="331")),"331",IF(AND(OR(L1069="131",M1069="131"),H1069='131-CT'!$E$7),"131",""))</f>
        <v/>
      </c>
      <c r="O1069" s="896" t="str">
        <f>IF(AND('341-CT'!$E$9=H1069,OR(LEFT(L1069,3)=$O$7,LEFT(M1069,3)=$O$7)),"x","")</f>
        <v/>
      </c>
      <c r="P1069" s="52" t="str">
        <f>IF(AND($B1069&gt;='111'!$N$11,$B1069&lt;='111'!$O$11,OR($L1069=$P$7,$M1069=$P$7)),"x","")</f>
        <v>x</v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15">
        <v>3</v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108"/>
        <v>7</v>
      </c>
      <c r="C1070" s="37">
        <f t="shared" si="109"/>
        <v>41836</v>
      </c>
      <c r="D1070" s="191" t="s">
        <v>1221</v>
      </c>
      <c r="E1070" s="184">
        <v>41836</v>
      </c>
      <c r="F1070" s="192" t="s">
        <v>1016</v>
      </c>
      <c r="G1070" s="468" t="s">
        <v>1091</v>
      </c>
      <c r="H1070" s="7" t="s">
        <v>1014</v>
      </c>
      <c r="I1070" s="256">
        <v>5508</v>
      </c>
      <c r="J1070" s="256">
        <v>9600</v>
      </c>
      <c r="K1070" s="568">
        <f>ROUND(I1070*J1070,0)</f>
        <v>52876800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15">
        <v>3</v>
      </c>
      <c r="AC1070" s="211" t="str">
        <f>IF(H1070=VLOOKUP(H1070,DSKH,1,0),"","x")</f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108"/>
        <v>7</v>
      </c>
      <c r="C1071" s="37">
        <f t="shared" si="109"/>
        <v>41836</v>
      </c>
      <c r="D1071" s="191" t="s">
        <v>1221</v>
      </c>
      <c r="E1071" s="184">
        <v>41836</v>
      </c>
      <c r="F1071" s="192" t="s">
        <v>1017</v>
      </c>
      <c r="G1071" s="468" t="s">
        <v>1091</v>
      </c>
      <c r="H1071" s="7" t="s">
        <v>1014</v>
      </c>
      <c r="I1071" s="256"/>
      <c r="J1071" s="256"/>
      <c r="K1071" s="568">
        <v>5287680</v>
      </c>
      <c r="L1071" s="39" t="s">
        <v>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15">
        <v>3</v>
      </c>
      <c r="AC1071" s="211" t="str">
        <f>IF(H1071=VLOOKUP(H1071,DSKH,1,0),"","x")</f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108"/>
        <v>7</v>
      </c>
      <c r="C1072" s="37">
        <f t="shared" si="109"/>
        <v>41837</v>
      </c>
      <c r="D1072" s="191" t="s">
        <v>1222</v>
      </c>
      <c r="E1072" s="184">
        <v>41837</v>
      </c>
      <c r="F1072" s="192" t="s">
        <v>1016</v>
      </c>
      <c r="G1072" s="468" t="s">
        <v>1093</v>
      </c>
      <c r="H1072" s="7" t="s">
        <v>1014</v>
      </c>
      <c r="I1072" s="256">
        <v>5195</v>
      </c>
      <c r="J1072" s="256">
        <v>9600</v>
      </c>
      <c r="K1072" s="568">
        <f>ROUND(I1072*J1072,0)</f>
        <v>49872000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15">
        <v>3</v>
      </c>
      <c r="AC1072" s="211" t="str">
        <f>IF(H1072=VLOOKUP(H1072,DSKH,1,0),"","x")</f>
        <v/>
      </c>
    </row>
    <row r="1073" spans="1:29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108"/>
        <v>7</v>
      </c>
      <c r="C1073" s="37">
        <f t="shared" si="109"/>
        <v>41837</v>
      </c>
      <c r="D1073" s="191" t="s">
        <v>1222</v>
      </c>
      <c r="E1073" s="184">
        <v>41837</v>
      </c>
      <c r="F1073" s="192" t="s">
        <v>1017</v>
      </c>
      <c r="G1073" s="468" t="s">
        <v>1093</v>
      </c>
      <c r="H1073" s="7" t="s">
        <v>1014</v>
      </c>
      <c r="I1073" s="256"/>
      <c r="J1073" s="256"/>
      <c r="K1073" s="568">
        <v>4987200</v>
      </c>
      <c r="L1073" s="39" t="s">
        <v>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15">
        <v>3</v>
      </c>
      <c r="AC1073" s="211" t="str">
        <f>IF(H1073=VLOOKUP(H1073,DSKH,1,0),"","x")</f>
        <v/>
      </c>
    </row>
    <row r="1074" spans="1:29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108"/>
        <v>7</v>
      </c>
      <c r="C1074" s="191">
        <f t="shared" si="109"/>
        <v>41838</v>
      </c>
      <c r="D1074" s="191"/>
      <c r="E1074" s="191">
        <v>41838</v>
      </c>
      <c r="F1074" s="192" t="s">
        <v>372</v>
      </c>
      <c r="G1074" s="468" t="s">
        <v>750</v>
      </c>
      <c r="H1074" s="7" t="s">
        <v>1002</v>
      </c>
      <c r="I1074" s="256"/>
      <c r="J1074" s="256"/>
      <c r="K1074" s="568">
        <v>4070000</v>
      </c>
      <c r="L1074" s="39" t="s">
        <v>167</v>
      </c>
      <c r="M1074" s="39" t="s">
        <v>47</v>
      </c>
      <c r="N1074" s="52" t="str">
        <f>IF(AND('331-CT'!$E$7=TH!H1074,OR(L1074="331",M1074="331")),"331",IF(AND(OR(L1074="131",M1074="131"),H1074='131-CT'!$E$7),"131",""))</f>
        <v/>
      </c>
      <c r="O1074" s="896" t="str">
        <f>IF(AND('341-CT'!$E$9=H1074,OR(LEFT(L1074,3)=$O$7,LEFT(M1074,3)=$O$7)),"x","")</f>
        <v/>
      </c>
      <c r="P1074" s="52" t="str">
        <f>IF(AND($B1074&gt;='111'!$N$11,$B1074&lt;='111'!$O$11,OR($L1074=$P$7,$M1074=$P$7)),"x","")</f>
        <v>x</v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15">
        <v>3</v>
      </c>
    </row>
    <row r="1075" spans="1:29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108"/>
        <v>7</v>
      </c>
      <c r="C1075" s="191">
        <f t="shared" si="109"/>
        <v>41838</v>
      </c>
      <c r="D1075" s="191"/>
      <c r="E1075" s="191">
        <v>41838</v>
      </c>
      <c r="F1075" s="192" t="s">
        <v>1003</v>
      </c>
      <c r="G1075" s="468" t="s">
        <v>750</v>
      </c>
      <c r="H1075" s="7" t="s">
        <v>1002</v>
      </c>
      <c r="I1075" s="256"/>
      <c r="J1075" s="256"/>
      <c r="K1075" s="568">
        <v>407000</v>
      </c>
      <c r="L1075" s="39" t="s">
        <v>9</v>
      </c>
      <c r="M1075" s="39" t="s">
        <v>47</v>
      </c>
      <c r="N1075" s="52" t="str">
        <f>IF(AND('331-CT'!$E$7=TH!H1075,OR(L1075="331",M1075="331")),"331",IF(AND(OR(L1075="131",M1075="131"),H1075='131-CT'!$E$7),"131",""))</f>
        <v/>
      </c>
      <c r="O1075" s="896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15">
        <v>3</v>
      </c>
    </row>
    <row r="1076" spans="1:29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108"/>
        <v>7</v>
      </c>
      <c r="C1076" s="191">
        <f t="shared" si="109"/>
        <v>41841</v>
      </c>
      <c r="D1076" s="191" t="s">
        <v>1223</v>
      </c>
      <c r="E1076" s="37">
        <v>41841</v>
      </c>
      <c r="F1076" s="192" t="s">
        <v>1016</v>
      </c>
      <c r="G1076" s="468" t="s">
        <v>1077</v>
      </c>
      <c r="H1076" s="7" t="s">
        <v>1014</v>
      </c>
      <c r="I1076" s="256">
        <v>6242</v>
      </c>
      <c r="J1076" s="256">
        <v>9600</v>
      </c>
      <c r="K1076" s="568">
        <f>ROUND(I1076*J1076,0)</f>
        <v>59923200</v>
      </c>
      <c r="L1076" s="39" t="s">
        <v>159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15">
        <v>3</v>
      </c>
      <c r="AC1076" s="211" t="str">
        <f>IF(H1076=VLOOKUP(H1076,DSKH,1,0),"","x")</f>
        <v/>
      </c>
    </row>
    <row r="1077" spans="1:29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108"/>
        <v>7</v>
      </c>
      <c r="C1077" s="191">
        <f t="shared" si="109"/>
        <v>41841</v>
      </c>
      <c r="D1077" s="191" t="s">
        <v>1223</v>
      </c>
      <c r="E1077" s="37">
        <v>41841</v>
      </c>
      <c r="F1077" s="192" t="s">
        <v>1017</v>
      </c>
      <c r="G1077" s="468" t="s">
        <v>1077</v>
      </c>
      <c r="H1077" s="7" t="s">
        <v>1014</v>
      </c>
      <c r="I1077" s="256"/>
      <c r="J1077" s="256"/>
      <c r="K1077" s="568">
        <v>5992320</v>
      </c>
      <c r="L1077" s="39" t="s">
        <v>9</v>
      </c>
      <c r="M1077" s="39" t="s">
        <v>8</v>
      </c>
      <c r="N1077" s="52" t="str">
        <f>IF(AND('331-CT'!$E$7=TH!H1077,OR(L1077="331",M1077="331")),"331",IF(AND(OR(L1077="131",M1077="131"),H1077='131-CT'!$E$7),"131",""))</f>
        <v/>
      </c>
      <c r="O1077" s="89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15">
        <v>3</v>
      </c>
      <c r="AC1077" s="211" t="str">
        <f>IF(H1077=VLOOKUP(H1077,DSKH,1,0),"","x")</f>
        <v/>
      </c>
    </row>
    <row r="1078" spans="1:29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108"/>
        <v>7</v>
      </c>
      <c r="C1078" s="37">
        <f t="shared" si="109"/>
        <v>41841</v>
      </c>
      <c r="D1078" s="191" t="s">
        <v>1224</v>
      </c>
      <c r="E1078" s="184">
        <v>41841</v>
      </c>
      <c r="F1078" s="192" t="s">
        <v>1016</v>
      </c>
      <c r="G1078" s="468" t="s">
        <v>1094</v>
      </c>
      <c r="H1078" s="7" t="s">
        <v>1014</v>
      </c>
      <c r="I1078" s="256">
        <v>3526</v>
      </c>
      <c r="J1078" s="256">
        <v>9600</v>
      </c>
      <c r="K1078" s="568">
        <f>ROUND(I1078*J1078,0)</f>
        <v>33849600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15">
        <v>3</v>
      </c>
      <c r="AC1078" s="211" t="str">
        <f>IF(H1078=VLOOKUP(H1078,DSKH,1,0),"","x")</f>
        <v/>
      </c>
    </row>
    <row r="1079" spans="1:29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108"/>
        <v>7</v>
      </c>
      <c r="C1079" s="37">
        <f t="shared" si="109"/>
        <v>41841</v>
      </c>
      <c r="D1079" s="191" t="s">
        <v>1224</v>
      </c>
      <c r="E1079" s="184">
        <v>41841</v>
      </c>
      <c r="F1079" s="192" t="s">
        <v>1017</v>
      </c>
      <c r="G1079" s="468" t="s">
        <v>1094</v>
      </c>
      <c r="H1079" s="7" t="s">
        <v>1014</v>
      </c>
      <c r="I1079" s="256"/>
      <c r="J1079" s="256"/>
      <c r="K1079" s="568">
        <v>3384960</v>
      </c>
      <c r="L1079" s="39" t="s">
        <v>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15">
        <v>3</v>
      </c>
      <c r="AC1079" s="211" t="str">
        <f>IF(H1079=VLOOKUP(H1079,DSKH,1,0),"","x")</f>
        <v/>
      </c>
    </row>
    <row r="1080" spans="1:29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108"/>
        <v>7</v>
      </c>
      <c r="C1080" s="191">
        <f t="shared" si="109"/>
        <v>41842</v>
      </c>
      <c r="D1080" s="191" t="s">
        <v>1236</v>
      </c>
      <c r="E1080" s="191">
        <v>41842</v>
      </c>
      <c r="F1080" s="192" t="s">
        <v>1021</v>
      </c>
      <c r="G1080" s="468" t="s">
        <v>1020</v>
      </c>
      <c r="H1080" s="7" t="s">
        <v>1019</v>
      </c>
      <c r="I1080" s="256">
        <v>1500</v>
      </c>
      <c r="J1080" s="256">
        <v>11000</v>
      </c>
      <c r="K1080" s="568">
        <f>ROUND(I1080*J1080,0)</f>
        <v>16500000</v>
      </c>
      <c r="L1080" s="39" t="s">
        <v>161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15">
        <v>3</v>
      </c>
    </row>
    <row r="1081" spans="1:29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108"/>
        <v>7</v>
      </c>
      <c r="C1081" s="191">
        <f t="shared" si="109"/>
        <v>41842</v>
      </c>
      <c r="D1081" s="191" t="s">
        <v>1236</v>
      </c>
      <c r="E1081" s="191">
        <v>41842</v>
      </c>
      <c r="F1081" s="192" t="s">
        <v>1022</v>
      </c>
      <c r="G1081" s="468" t="s">
        <v>1020</v>
      </c>
      <c r="H1081" s="7" t="s">
        <v>1019</v>
      </c>
      <c r="I1081" s="256"/>
      <c r="J1081" s="256"/>
      <c r="K1081" s="568">
        <v>1650000</v>
      </c>
      <c r="L1081" s="39" t="s">
        <v>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15">
        <v>3</v>
      </c>
    </row>
    <row r="1082" spans="1:29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ref="B1082" si="114">IF(C1082&lt;&gt;"",MONTH(C1082),"")</f>
        <v>7</v>
      </c>
      <c r="C1082" s="191">
        <f t="shared" ref="C1082" si="115">E1082</f>
        <v>41842</v>
      </c>
      <c r="D1082" s="191"/>
      <c r="E1082" s="191">
        <v>41842</v>
      </c>
      <c r="F1082" s="189" t="s">
        <v>895</v>
      </c>
      <c r="G1082" s="468" t="s">
        <v>1020</v>
      </c>
      <c r="H1082" s="7" t="s">
        <v>1019</v>
      </c>
      <c r="I1082" s="256"/>
      <c r="J1082" s="256"/>
      <c r="K1082" s="568">
        <v>18150000</v>
      </c>
      <c r="L1082" s="39" t="s">
        <v>8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896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15"/>
    </row>
    <row r="1083" spans="1:29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108"/>
        <v>7</v>
      </c>
      <c r="C1083" s="191">
        <f t="shared" si="109"/>
        <v>41844</v>
      </c>
      <c r="D1083" s="191"/>
      <c r="E1083" s="191">
        <v>41844</v>
      </c>
      <c r="F1083" s="189" t="s">
        <v>995</v>
      </c>
      <c r="G1083" s="468" t="s">
        <v>1023</v>
      </c>
      <c r="H1083" s="7" t="s">
        <v>997</v>
      </c>
      <c r="I1083" s="256"/>
      <c r="J1083" s="256"/>
      <c r="K1083" s="568">
        <v>853620</v>
      </c>
      <c r="L1083" s="39" t="s">
        <v>83</v>
      </c>
      <c r="M1083" s="39" t="s">
        <v>47</v>
      </c>
      <c r="N1083" s="52" t="str">
        <f>IF(AND('331-CT'!$E$7=TH!H1083,OR(L1083="331",M1083="331")),"331",IF(AND(OR(L1083="131",M1083="131"),H1083='131-CT'!$E$7),"131",""))</f>
        <v/>
      </c>
      <c r="O1083" s="896" t="str">
        <f>IF(AND('341-CT'!$E$9=H1083,OR(LEFT(L1083,3)=$O$7,LEFT(M1083,3)=$O$7)),"x","")</f>
        <v/>
      </c>
      <c r="P1083" s="52" t="str">
        <f>IF(AND($B1083&gt;='111'!$N$11,$B1083&lt;='111'!$O$11,OR($L1083=$P$7,$M1083=$P$7)),"x","")</f>
        <v>x</v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>x</v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15">
        <v>3</v>
      </c>
    </row>
    <row r="1084" spans="1:29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108"/>
        <v>7</v>
      </c>
      <c r="C1084" s="191">
        <f t="shared" si="109"/>
        <v>41844</v>
      </c>
      <c r="D1084" s="191"/>
      <c r="E1084" s="191">
        <v>41844</v>
      </c>
      <c r="F1084" s="189" t="s">
        <v>996</v>
      </c>
      <c r="G1084" s="468" t="s">
        <v>1023</v>
      </c>
      <c r="H1084" s="7" t="s">
        <v>997</v>
      </c>
      <c r="I1084" s="256"/>
      <c r="J1084" s="256"/>
      <c r="K1084" s="568">
        <v>85362</v>
      </c>
      <c r="L1084" s="39" t="s">
        <v>9</v>
      </c>
      <c r="M1084" s="39" t="s">
        <v>47</v>
      </c>
      <c r="N1084" s="52" t="str">
        <f>IF(AND('331-CT'!$E$7=TH!H1084,OR(L1084="331",M1084="331")),"331",IF(AND(OR(L1084="131",M1084="131"),H1084='131-CT'!$E$7),"131",""))</f>
        <v/>
      </c>
      <c r="O1084" s="896" t="str">
        <f>IF(AND('341-CT'!$E$9=H1084,OR(LEFT(L1084,3)=$O$7,LEFT(M1084,3)=$O$7)),"x","")</f>
        <v/>
      </c>
      <c r="P1084" s="52" t="str">
        <f>IF(AND($B1084&gt;='111'!$N$11,$B1084&lt;='111'!$O$11,OR($L1084=$P$7,$M1084=$P$7)),"x","")</f>
        <v>x</v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15">
        <v>3</v>
      </c>
    </row>
    <row r="1085" spans="1:29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108"/>
        <v>7</v>
      </c>
      <c r="C1085" s="191">
        <f t="shared" si="109"/>
        <v>41845</v>
      </c>
      <c r="D1085" s="191"/>
      <c r="E1085" s="184">
        <v>41845</v>
      </c>
      <c r="F1085" s="189" t="s">
        <v>1067</v>
      </c>
      <c r="G1085" s="468"/>
      <c r="H1085" s="45" t="s">
        <v>1065</v>
      </c>
      <c r="I1085" s="256"/>
      <c r="J1085" s="256"/>
      <c r="K1085" s="568">
        <v>3000000</v>
      </c>
      <c r="L1085" s="569" t="s">
        <v>17</v>
      </c>
      <c r="M1085" s="569" t="s">
        <v>47</v>
      </c>
      <c r="N1085" s="52" t="str">
        <f>IF(AND('331-CT'!$E$7=TH!H1085,OR(L1085="331",M1085="331")),"331",IF(AND(OR(L1085="131",M1085="131"),H1085='131-CT'!$E$7),"131",""))</f>
        <v/>
      </c>
      <c r="O1085" s="896" t="str">
        <f>IF(AND('341-CT'!$E$9=H1085,OR(LEFT(L1085,3)=$O$7,LEFT(M1085,3)=$O$7)),"x","")</f>
        <v/>
      </c>
      <c r="P1085" s="52" t="str">
        <f>IF(AND($B1085&gt;='111'!$N$11,$B1085&lt;='111'!$O$11,OR($L1085=$P$7,$M1085=$P$7)),"x","")</f>
        <v>x</v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15"/>
    </row>
    <row r="1086" spans="1:29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108"/>
        <v>7</v>
      </c>
      <c r="C1086" s="37">
        <f t="shared" si="109"/>
        <v>41847</v>
      </c>
      <c r="D1086" s="191" t="s">
        <v>1225</v>
      </c>
      <c r="E1086" s="184">
        <v>41847</v>
      </c>
      <c r="F1086" s="296" t="s">
        <v>1080</v>
      </c>
      <c r="G1086" s="468" t="s">
        <v>1106</v>
      </c>
      <c r="H1086" s="7" t="s">
        <v>1078</v>
      </c>
      <c r="I1086" s="256">
        <v>5880</v>
      </c>
      <c r="J1086" s="256">
        <v>8500</v>
      </c>
      <c r="K1086" s="568">
        <f>ROUND(I1086*J1086,0)</f>
        <v>49980000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>x</v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15">
        <v>3</v>
      </c>
      <c r="AC1086" s="211" t="str">
        <f t="shared" ref="AC1086:AC1092" si="116">IF(H1086=VLOOKUP(H1086,DSKH,1,0),"","x")</f>
        <v/>
      </c>
    </row>
    <row r="1087" spans="1:29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108"/>
        <v>7</v>
      </c>
      <c r="C1087" s="37">
        <f t="shared" si="109"/>
        <v>41847</v>
      </c>
      <c r="D1087" s="191" t="s">
        <v>1225</v>
      </c>
      <c r="E1087" s="184">
        <v>41847</v>
      </c>
      <c r="F1087" s="296" t="s">
        <v>1081</v>
      </c>
      <c r="G1087" s="468" t="s">
        <v>1106</v>
      </c>
      <c r="H1087" s="7" t="s">
        <v>1078</v>
      </c>
      <c r="I1087" s="256"/>
      <c r="J1087" s="256"/>
      <c r="K1087" s="568">
        <v>4998000</v>
      </c>
      <c r="L1087" s="39" t="s">
        <v>9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89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15">
        <v>3</v>
      </c>
      <c r="AC1087" s="211" t="str">
        <f t="shared" si="116"/>
        <v/>
      </c>
    </row>
    <row r="1088" spans="1:29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108"/>
        <v>7</v>
      </c>
      <c r="C1088" s="37">
        <f t="shared" si="109"/>
        <v>41848</v>
      </c>
      <c r="D1088" s="191" t="s">
        <v>1226</v>
      </c>
      <c r="E1088" s="184">
        <v>41848</v>
      </c>
      <c r="F1088" s="192" t="s">
        <v>1109</v>
      </c>
      <c r="G1088" s="468" t="s">
        <v>1108</v>
      </c>
      <c r="H1088" s="193" t="s">
        <v>1107</v>
      </c>
      <c r="I1088" s="256">
        <v>2032</v>
      </c>
      <c r="J1088" s="256">
        <v>11600</v>
      </c>
      <c r="K1088" s="568">
        <f>ROUND(I1088*J1088,0)</f>
        <v>23571200</v>
      </c>
      <c r="L1088" s="39" t="s">
        <v>159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89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15">
        <v>3</v>
      </c>
      <c r="AC1088" s="211" t="str">
        <f t="shared" si="116"/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08"/>
        <v>7</v>
      </c>
      <c r="C1089" s="37">
        <f t="shared" si="109"/>
        <v>41848</v>
      </c>
      <c r="D1089" s="191" t="s">
        <v>1226</v>
      </c>
      <c r="E1089" s="184">
        <v>41848</v>
      </c>
      <c r="F1089" s="192" t="s">
        <v>1110</v>
      </c>
      <c r="G1089" s="468" t="s">
        <v>1108</v>
      </c>
      <c r="H1089" s="193" t="s">
        <v>1107</v>
      </c>
      <c r="I1089" s="256"/>
      <c r="J1089" s="256"/>
      <c r="K1089" s="568">
        <v>2357120</v>
      </c>
      <c r="L1089" s="39" t="s">
        <v>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15">
        <v>3</v>
      </c>
      <c r="AC1089" s="211" t="str">
        <f t="shared" si="116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ref="B1090" si="117">IF(C1090&lt;&gt;"",MONTH(C1090),"")</f>
        <v>8</v>
      </c>
      <c r="C1090" s="37">
        <f t="shared" ref="C1090" si="118">E1090</f>
        <v>41882</v>
      </c>
      <c r="D1090" s="191" t="s">
        <v>1226</v>
      </c>
      <c r="E1090" s="184">
        <v>41882</v>
      </c>
      <c r="F1090" s="192" t="s">
        <v>1110</v>
      </c>
      <c r="G1090" s="468" t="s">
        <v>1108</v>
      </c>
      <c r="H1090" s="193" t="s">
        <v>1107</v>
      </c>
      <c r="I1090" s="256"/>
      <c r="J1090" s="256"/>
      <c r="K1090" s="568">
        <v>6928320</v>
      </c>
      <c r="L1090" s="39" t="s">
        <v>8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896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15"/>
      <c r="AC1090" s="211" t="str">
        <f t="shared" ref="AC1090" si="119">IF(H1090=VLOOKUP(H1090,DSKH,1,0),"","x")</f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08"/>
        <v>7</v>
      </c>
      <c r="C1091" s="37">
        <f t="shared" si="109"/>
        <v>41849</v>
      </c>
      <c r="D1091" s="191" t="s">
        <v>1227</v>
      </c>
      <c r="E1091" s="184">
        <v>41849</v>
      </c>
      <c r="F1091" s="192" t="s">
        <v>1016</v>
      </c>
      <c r="G1091" s="468" t="s">
        <v>1111</v>
      </c>
      <c r="H1091" s="7" t="s">
        <v>1014</v>
      </c>
      <c r="I1091" s="256">
        <v>1852</v>
      </c>
      <c r="J1091" s="256">
        <v>9600</v>
      </c>
      <c r="K1091" s="568">
        <f>ROUND(I1091*J1091,0)</f>
        <v>17779200</v>
      </c>
      <c r="L1091" s="39" t="s">
        <v>159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15">
        <v>3</v>
      </c>
      <c r="AC1091" s="211" t="str">
        <f t="shared" si="116"/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08"/>
        <v>7</v>
      </c>
      <c r="C1092" s="37">
        <f t="shared" si="109"/>
        <v>41849</v>
      </c>
      <c r="D1092" s="191" t="s">
        <v>1227</v>
      </c>
      <c r="E1092" s="184">
        <v>41849</v>
      </c>
      <c r="F1092" s="192" t="s">
        <v>1017</v>
      </c>
      <c r="G1092" s="468" t="s">
        <v>1111</v>
      </c>
      <c r="H1092" s="7" t="s">
        <v>1014</v>
      </c>
      <c r="I1092" s="256"/>
      <c r="J1092" s="256"/>
      <c r="K1092" s="568">
        <v>1777920</v>
      </c>
      <c r="L1092" s="39" t="s">
        <v>9</v>
      </c>
      <c r="M1092" s="39" t="s">
        <v>8</v>
      </c>
      <c r="N1092" s="52" t="str">
        <f>IF(AND('331-CT'!$E$7=TH!H1092,OR(L1092="331",M1092="331")),"331",IF(AND(OR(L1092="131",M1092="131"),H1092='131-CT'!$E$7),"131",""))</f>
        <v/>
      </c>
      <c r="O1092" s="89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15">
        <v>3</v>
      </c>
      <c r="AC1092" s="211" t="str">
        <f t="shared" si="116"/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ref="B1093" si="120">IF(C1093&lt;&gt;"",MONTH(C1093),"")</f>
        <v>7</v>
      </c>
      <c r="C1093" s="37">
        <f t="shared" ref="C1093" si="121">E1093</f>
        <v>41849</v>
      </c>
      <c r="D1093" s="191" t="s">
        <v>1227</v>
      </c>
      <c r="E1093" s="184">
        <v>41849</v>
      </c>
      <c r="F1093" s="189" t="s">
        <v>895</v>
      </c>
      <c r="G1093" s="468" t="s">
        <v>1111</v>
      </c>
      <c r="H1093" s="7" t="s">
        <v>1014</v>
      </c>
      <c r="I1093" s="256"/>
      <c r="J1093" s="256"/>
      <c r="K1093" s="568">
        <v>19557120</v>
      </c>
      <c r="L1093" s="39" t="s">
        <v>8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896" t="str">
        <f>IF(AND('341-CT'!$E$9=H1093,OR(LEFT(L1093,3)=$O$7,LEFT(M1093,3)=$O$7)),"x","")</f>
        <v/>
      </c>
      <c r="P1093" s="52" t="str">
        <f>IF(AND($B1093&gt;='111'!$N$11,$B1093&lt;='111'!$O$11,OR($L1093=$P$7,$M1093=$P$7)),"x","")</f>
        <v>x</v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15"/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08"/>
        <v>7</v>
      </c>
      <c r="C1094" s="191">
        <f t="shared" si="109"/>
        <v>41850</v>
      </c>
      <c r="D1094" s="191" t="s">
        <v>1237</v>
      </c>
      <c r="E1094" s="37">
        <v>41850</v>
      </c>
      <c r="F1094" s="192" t="s">
        <v>1021</v>
      </c>
      <c r="G1094" s="468" t="s">
        <v>1024</v>
      </c>
      <c r="H1094" s="7" t="s">
        <v>1019</v>
      </c>
      <c r="I1094" s="256">
        <v>1500</v>
      </c>
      <c r="J1094" s="256">
        <v>11000</v>
      </c>
      <c r="K1094" s="568">
        <f>ROUND(I1094*J1094,0)</f>
        <v>16500000</v>
      </c>
      <c r="L1094" s="39" t="s">
        <v>161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15">
        <v>3</v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08"/>
        <v>7</v>
      </c>
      <c r="C1095" s="191">
        <f t="shared" si="109"/>
        <v>41850</v>
      </c>
      <c r="D1095" s="191" t="s">
        <v>1237</v>
      </c>
      <c r="E1095" s="37">
        <v>41850</v>
      </c>
      <c r="F1095" s="192" t="s">
        <v>1022</v>
      </c>
      <c r="G1095" s="468" t="s">
        <v>1024</v>
      </c>
      <c r="H1095" s="7" t="s">
        <v>1019</v>
      </c>
      <c r="I1095" s="256"/>
      <c r="J1095" s="256"/>
      <c r="K1095" s="568">
        <v>1650000</v>
      </c>
      <c r="L1095" s="39" t="s">
        <v>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15">
        <v>3</v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ref="B1096" si="122">IF(C1096&lt;&gt;"",MONTH(C1096),"")</f>
        <v>7</v>
      </c>
      <c r="C1096" s="191">
        <f t="shared" ref="C1096" si="123">E1096</f>
        <v>41850</v>
      </c>
      <c r="D1096" s="191"/>
      <c r="E1096" s="37">
        <v>41850</v>
      </c>
      <c r="F1096" s="189" t="s">
        <v>895</v>
      </c>
      <c r="G1096" s="468" t="s">
        <v>1024</v>
      </c>
      <c r="H1096" s="7" t="s">
        <v>1019</v>
      </c>
      <c r="I1096" s="256"/>
      <c r="J1096" s="256"/>
      <c r="K1096" s="568">
        <v>18150000</v>
      </c>
      <c r="L1096" s="39" t="s">
        <v>8</v>
      </c>
      <c r="M1096" s="39" t="s">
        <v>47</v>
      </c>
      <c r="N1096" s="52" t="str">
        <f>IF(AND('331-CT'!$E$7=TH!H1096,OR(L1096="331",M1096="331")),"331",IF(AND(OR(L1096="131",M1096="131"),H1096='131-CT'!$E$7),"131",""))</f>
        <v/>
      </c>
      <c r="O1096" s="896" t="str">
        <f>IF(AND('341-CT'!$E$9=H1096,OR(LEFT(L1096,3)=$O$7,LEFT(M1096,3)=$O$7)),"x","")</f>
        <v/>
      </c>
      <c r="P1096" s="52" t="str">
        <f>IF(AND($B1096&gt;='111'!$N$11,$B1096&lt;='111'!$O$11,OR($L1096=$P$7,$M1096=$P$7)),"x","")</f>
        <v>x</v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15"/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8"/>
        <v>7</v>
      </c>
      <c r="C1097" s="37">
        <f t="shared" si="109"/>
        <v>41850</v>
      </c>
      <c r="D1097" s="191" t="s">
        <v>1228</v>
      </c>
      <c r="E1097" s="184">
        <v>41850</v>
      </c>
      <c r="F1097" s="192" t="s">
        <v>1016</v>
      </c>
      <c r="G1097" s="468" t="s">
        <v>1114</v>
      </c>
      <c r="H1097" s="7" t="s">
        <v>1014</v>
      </c>
      <c r="I1097" s="259">
        <v>4756</v>
      </c>
      <c r="J1097" s="259">
        <v>9600</v>
      </c>
      <c r="K1097" s="568">
        <f>ROUND(I1097*J1097,0)</f>
        <v>45657600</v>
      </c>
      <c r="L1097" s="39" t="s">
        <v>159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15">
        <v>3</v>
      </c>
      <c r="AC1097" s="211" t="str">
        <f t="shared" ref="AC1097:AC1111" si="124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8"/>
        <v>7</v>
      </c>
      <c r="C1098" s="37">
        <f t="shared" si="109"/>
        <v>41850</v>
      </c>
      <c r="D1098" s="191" t="s">
        <v>1228</v>
      </c>
      <c r="E1098" s="184">
        <v>41850</v>
      </c>
      <c r="F1098" s="192" t="s">
        <v>1113</v>
      </c>
      <c r="G1098" s="468" t="s">
        <v>1114</v>
      </c>
      <c r="H1098" s="7" t="s">
        <v>1014</v>
      </c>
      <c r="I1098" s="259">
        <v>1305</v>
      </c>
      <c r="J1098" s="259">
        <v>9600</v>
      </c>
      <c r="K1098" s="568">
        <f>ROUND(I1098*J1098,0)</f>
        <v>12528000</v>
      </c>
      <c r="L1098" s="39" t="s">
        <v>159</v>
      </c>
      <c r="M1098" s="39" t="s">
        <v>8</v>
      </c>
      <c r="N1098" s="52" t="str">
        <f>IF(AND('331-CT'!$E$7=TH!H1098,OR(L1098="331",M1098="331")),"331",IF(AND(OR(L1098="131",M1098="131"),H1098='131-CT'!$E$7),"131",""))</f>
        <v/>
      </c>
      <c r="O1098" s="89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15">
        <v>3</v>
      </c>
      <c r="AC1098" s="211" t="str">
        <f t="shared" si="124"/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8"/>
        <v>7</v>
      </c>
      <c r="C1099" s="37">
        <f t="shared" si="109"/>
        <v>41850</v>
      </c>
      <c r="D1099" s="191" t="s">
        <v>1228</v>
      </c>
      <c r="E1099" s="184">
        <v>41850</v>
      </c>
      <c r="F1099" s="192" t="s">
        <v>1112</v>
      </c>
      <c r="G1099" s="468" t="s">
        <v>1114</v>
      </c>
      <c r="H1099" s="7" t="s">
        <v>1014</v>
      </c>
      <c r="I1099" s="256"/>
      <c r="J1099" s="256"/>
      <c r="K1099" s="568">
        <v>5818560</v>
      </c>
      <c r="L1099" s="39" t="s">
        <v>9</v>
      </c>
      <c r="M1099" s="39" t="s">
        <v>8</v>
      </c>
      <c r="N1099" s="52" t="str">
        <f>IF(AND('331-CT'!$E$7=TH!H1099,OR(L1099="331",M1099="331")),"331",IF(AND(OR(L1099="131",M1099="131"),H1099='131-CT'!$E$7),"131",""))</f>
        <v/>
      </c>
      <c r="O1099" s="89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15">
        <v>3</v>
      </c>
      <c r="AC1099" s="211" t="str">
        <f t="shared" si="124"/>
        <v/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8"/>
        <v>7</v>
      </c>
      <c r="C1100" s="191">
        <f t="shared" si="109"/>
        <v>41851</v>
      </c>
      <c r="D1100" s="191" t="s">
        <v>1238</v>
      </c>
      <c r="E1100" s="37">
        <v>41851</v>
      </c>
      <c r="F1100" s="192" t="s">
        <v>1021</v>
      </c>
      <c r="G1100" s="467" t="s">
        <v>1025</v>
      </c>
      <c r="H1100" s="7" t="s">
        <v>1019</v>
      </c>
      <c r="I1100" s="754">
        <v>500</v>
      </c>
      <c r="J1100" s="754">
        <v>11000</v>
      </c>
      <c r="K1100" s="568">
        <f>ROUND(I1100*J1100,0)</f>
        <v>5500000</v>
      </c>
      <c r="L1100" s="39" t="s">
        <v>161</v>
      </c>
      <c r="M1100" s="39" t="s">
        <v>8</v>
      </c>
      <c r="N1100" s="52" t="str">
        <f>IF(AND('331-CT'!$E$7=TH!H1100,OR(L1100="331",M1100="331")),"331",IF(AND(OR(L1100="131",M1100="131"),H1100='131-CT'!$E$7),"131",""))</f>
        <v/>
      </c>
      <c r="O1100" s="89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15">
        <v>3</v>
      </c>
      <c r="AC1100" s="211" t="str">
        <f t="shared" si="124"/>
        <v/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8"/>
        <v>7</v>
      </c>
      <c r="C1101" s="191">
        <f t="shared" si="109"/>
        <v>41851</v>
      </c>
      <c r="D1101" s="191" t="s">
        <v>1238</v>
      </c>
      <c r="E1101" s="37">
        <v>41851</v>
      </c>
      <c r="F1101" s="296" t="s">
        <v>1026</v>
      </c>
      <c r="G1101" s="467" t="s">
        <v>1025</v>
      </c>
      <c r="H1101" s="7" t="s">
        <v>1019</v>
      </c>
      <c r="I1101" s="754">
        <v>25</v>
      </c>
      <c r="J1101" s="754">
        <v>20000</v>
      </c>
      <c r="K1101" s="568">
        <f>ROUND(I1101*J1101,0)</f>
        <v>500000</v>
      </c>
      <c r="L1101" s="39" t="s">
        <v>161</v>
      </c>
      <c r="M1101" s="39" t="s">
        <v>8</v>
      </c>
      <c r="N1101" s="52" t="str">
        <f>IF(AND('331-CT'!$E$7=TH!H1101,OR(L1101="331",M1101="331")),"331",IF(AND(OR(L1101="131",M1101="131"),H1101='131-CT'!$E$7),"131",""))</f>
        <v/>
      </c>
      <c r="O1101" s="89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15">
        <v>3</v>
      </c>
      <c r="AC1101" s="211" t="str">
        <f t="shared" si="124"/>
        <v/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8"/>
        <v>7</v>
      </c>
      <c r="C1102" s="191">
        <f t="shared" si="109"/>
        <v>41851</v>
      </c>
      <c r="D1102" s="191" t="s">
        <v>1238</v>
      </c>
      <c r="E1102" s="37">
        <v>41851</v>
      </c>
      <c r="F1102" s="189" t="s">
        <v>1027</v>
      </c>
      <c r="G1102" s="467" t="s">
        <v>1025</v>
      </c>
      <c r="H1102" s="7" t="s">
        <v>1019</v>
      </c>
      <c r="I1102" s="754">
        <v>100</v>
      </c>
      <c r="J1102" s="754">
        <v>20000</v>
      </c>
      <c r="K1102" s="568">
        <f>ROUND(I1102*J1102,0)</f>
        <v>2000000</v>
      </c>
      <c r="L1102" s="39" t="s">
        <v>161</v>
      </c>
      <c r="M1102" s="39" t="s">
        <v>8</v>
      </c>
      <c r="N1102" s="52" t="str">
        <f>IF(AND('331-CT'!$E$7=TH!H1102,OR(L1102="331",M1102="331")),"331",IF(AND(OR(L1102="131",M1102="131"),H1102='131-CT'!$E$7),"131",""))</f>
        <v/>
      </c>
      <c r="O1102" s="89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15">
        <v>3</v>
      </c>
      <c r="AC1102" s="211" t="str">
        <f t="shared" si="124"/>
        <v/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8"/>
        <v>7</v>
      </c>
      <c r="C1103" s="191">
        <f t="shared" si="109"/>
        <v>41851</v>
      </c>
      <c r="D1103" s="191" t="s">
        <v>1238</v>
      </c>
      <c r="E1103" s="37">
        <v>41851</v>
      </c>
      <c r="F1103" s="192" t="s">
        <v>1022</v>
      </c>
      <c r="G1103" s="467" t="s">
        <v>1025</v>
      </c>
      <c r="H1103" s="7" t="s">
        <v>1019</v>
      </c>
      <c r="I1103" s="754"/>
      <c r="J1103" s="754"/>
      <c r="K1103" s="568">
        <v>800000</v>
      </c>
      <c r="L1103" s="39" t="s">
        <v>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15">
        <v>3</v>
      </c>
      <c r="AC1103" s="211" t="str">
        <f t="shared" si="124"/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ref="B1104" si="125">IF(C1104&lt;&gt;"",MONTH(C1104),"")</f>
        <v>7</v>
      </c>
      <c r="C1104" s="191">
        <f t="shared" ref="C1104" si="126">E1104</f>
        <v>41851</v>
      </c>
      <c r="D1104" s="191"/>
      <c r="E1104" s="37">
        <v>41851</v>
      </c>
      <c r="F1104" s="189" t="s">
        <v>895</v>
      </c>
      <c r="G1104" s="467" t="s">
        <v>1025</v>
      </c>
      <c r="H1104" s="7" t="s">
        <v>1019</v>
      </c>
      <c r="I1104" s="754"/>
      <c r="J1104" s="754"/>
      <c r="K1104" s="568">
        <v>8800000</v>
      </c>
      <c r="L1104" s="39" t="s">
        <v>8</v>
      </c>
      <c r="M1104" s="39" t="s">
        <v>47</v>
      </c>
      <c r="N1104" s="52" t="str">
        <f>IF(AND('331-CT'!$E$7=TH!H1104,OR(L1104="331",M1104="331")),"331",IF(AND(OR(L1104="131",M1104="131"),H1104='131-CT'!$E$7),"131",""))</f>
        <v/>
      </c>
      <c r="O1104" s="896" t="str">
        <f>IF(AND('341-CT'!$E$9=H1104,OR(LEFT(L1104,3)=$O$7,LEFT(M1104,3)=$O$7)),"x","")</f>
        <v/>
      </c>
      <c r="P1104" s="52" t="str">
        <f>IF(AND($B1104&gt;='111'!$N$11,$B1104&lt;='111'!$O$11,OR($L1104=$P$7,$M1104=$P$7)),"x","")</f>
        <v>x</v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15"/>
      <c r="AC1104" s="211" t="str">
        <f t="shared" ref="AC1104" si="127"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8"/>
        <v>8</v>
      </c>
      <c r="C1105" s="37">
        <f t="shared" si="109"/>
        <v>41852</v>
      </c>
      <c r="D1105" s="191" t="s">
        <v>1229</v>
      </c>
      <c r="E1105" s="191">
        <v>41852</v>
      </c>
      <c r="F1105" s="296" t="s">
        <v>1080</v>
      </c>
      <c r="G1105" s="468" t="s">
        <v>1115</v>
      </c>
      <c r="H1105" s="7" t="s">
        <v>1078</v>
      </c>
      <c r="I1105" s="256">
        <v>5710</v>
      </c>
      <c r="J1105" s="256">
        <v>8500</v>
      </c>
      <c r="K1105" s="568">
        <f>ROUND(I1105*J1105,0)</f>
        <v>48535000</v>
      </c>
      <c r="L1105" s="39" t="s">
        <v>159</v>
      </c>
      <c r="M1105" s="39" t="s">
        <v>8</v>
      </c>
      <c r="N1105" s="52" t="str">
        <f>IF(AND('331-CT'!$E$7=TH!H1105,OR(L1105="331",M1105="331")),"331",IF(AND(OR(L1105="131",M1105="131"),H1105='131-CT'!$E$7),"131",""))</f>
        <v/>
      </c>
      <c r="O1105" s="89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>x</v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15">
        <v>3</v>
      </c>
      <c r="AC1105" s="211" t="str">
        <f t="shared" si="124"/>
        <v/>
      </c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8"/>
        <v>8</v>
      </c>
      <c r="C1106" s="37">
        <f t="shared" si="109"/>
        <v>41852</v>
      </c>
      <c r="D1106" s="191" t="s">
        <v>1229</v>
      </c>
      <c r="E1106" s="191">
        <v>41852</v>
      </c>
      <c r="F1106" s="296" t="s">
        <v>1081</v>
      </c>
      <c r="G1106" s="468" t="s">
        <v>1115</v>
      </c>
      <c r="H1106" s="7" t="s">
        <v>1078</v>
      </c>
      <c r="I1106" s="256"/>
      <c r="J1106" s="256"/>
      <c r="K1106" s="568">
        <v>4853500</v>
      </c>
      <c r="L1106" s="39" t="s">
        <v>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15">
        <v>3</v>
      </c>
      <c r="AC1106" s="211" t="str">
        <f t="shared" si="124"/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8"/>
        <v>8</v>
      </c>
      <c r="C1107" s="37">
        <f t="shared" si="109"/>
        <v>41853</v>
      </c>
      <c r="D1107" s="191" t="s">
        <v>1230</v>
      </c>
      <c r="E1107" s="191">
        <v>41853</v>
      </c>
      <c r="F1107" s="296" t="s">
        <v>1080</v>
      </c>
      <c r="G1107" s="467" t="s">
        <v>539</v>
      </c>
      <c r="H1107" s="7" t="s">
        <v>1054</v>
      </c>
      <c r="I1107" s="256">
        <v>11999</v>
      </c>
      <c r="J1107" s="256">
        <v>7600</v>
      </c>
      <c r="K1107" s="568">
        <f>ROUND(I1107*J1107,0)</f>
        <v>91192400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>x</v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15">
        <v>3</v>
      </c>
      <c r="AC1107" s="211" t="str">
        <f t="shared" si="124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8"/>
        <v>8</v>
      </c>
      <c r="C1108" s="37">
        <f t="shared" si="109"/>
        <v>41853</v>
      </c>
      <c r="D1108" s="191" t="s">
        <v>1230</v>
      </c>
      <c r="E1108" s="191">
        <v>41853</v>
      </c>
      <c r="F1108" s="40" t="s">
        <v>1053</v>
      </c>
      <c r="G1108" s="467" t="s">
        <v>539</v>
      </c>
      <c r="H1108" s="7" t="s">
        <v>1054</v>
      </c>
      <c r="I1108" s="256"/>
      <c r="J1108" s="256"/>
      <c r="K1108" s="568">
        <v>9119240</v>
      </c>
      <c r="L1108" s="39" t="s">
        <v>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15">
        <v>3</v>
      </c>
      <c r="AC1108" s="211" t="str">
        <f t="shared" si="124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80" si="128">IF(C1109&lt;&gt;"",MONTH(C1109),"")</f>
        <v>8</v>
      </c>
      <c r="C1109" s="37">
        <f t="shared" ref="C1109:C1180" si="129">E1109</f>
        <v>41853</v>
      </c>
      <c r="D1109" s="191" t="s">
        <v>1231</v>
      </c>
      <c r="E1109" s="191">
        <v>41853</v>
      </c>
      <c r="F1109" s="296" t="s">
        <v>1080</v>
      </c>
      <c r="G1109" s="467" t="s">
        <v>1116</v>
      </c>
      <c r="H1109" s="7" t="s">
        <v>1014</v>
      </c>
      <c r="I1109" s="256">
        <v>1320</v>
      </c>
      <c r="J1109" s="256">
        <v>9000</v>
      </c>
      <c r="K1109" s="568">
        <f>ROUND(I1109*J1109,0)</f>
        <v>11880000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>x</v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15">
        <v>3</v>
      </c>
      <c r="AC1109" s="211" t="str">
        <f t="shared" si="124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28"/>
        <v>8</v>
      </c>
      <c r="C1110" s="37">
        <f t="shared" si="129"/>
        <v>41853</v>
      </c>
      <c r="D1110" s="191" t="s">
        <v>1231</v>
      </c>
      <c r="E1110" s="191">
        <v>41853</v>
      </c>
      <c r="F1110" s="192" t="s">
        <v>1016</v>
      </c>
      <c r="G1110" s="467" t="s">
        <v>1116</v>
      </c>
      <c r="H1110" s="7" t="s">
        <v>1014</v>
      </c>
      <c r="I1110" s="256">
        <v>4926</v>
      </c>
      <c r="J1110" s="256">
        <v>9600</v>
      </c>
      <c r="K1110" s="568">
        <f>ROUND(I1110*J1110,0)</f>
        <v>47289600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15">
        <v>3</v>
      </c>
      <c r="AC1110" s="211" t="str">
        <f t="shared" si="124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28"/>
        <v>8</v>
      </c>
      <c r="C1111" s="37">
        <f t="shared" si="129"/>
        <v>41853</v>
      </c>
      <c r="D1111" s="191" t="s">
        <v>1231</v>
      </c>
      <c r="E1111" s="191">
        <v>41853</v>
      </c>
      <c r="F1111" s="192" t="s">
        <v>1112</v>
      </c>
      <c r="G1111" s="467" t="s">
        <v>1116</v>
      </c>
      <c r="H1111" s="7" t="s">
        <v>1014</v>
      </c>
      <c r="I1111" s="256"/>
      <c r="J1111" s="256"/>
      <c r="K1111" s="568">
        <v>5916960</v>
      </c>
      <c r="L1111" s="39" t="s">
        <v>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15">
        <v>3</v>
      </c>
      <c r="AC1111" s="211" t="str">
        <f t="shared" si="124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28"/>
        <v>8</v>
      </c>
      <c r="C1112" s="191">
        <f t="shared" si="129"/>
        <v>41857</v>
      </c>
      <c r="D1112" s="191"/>
      <c r="E1112" s="37">
        <v>41857</v>
      </c>
      <c r="F1112" s="189" t="s">
        <v>993</v>
      </c>
      <c r="G1112" s="468" t="s">
        <v>1028</v>
      </c>
      <c r="H1112" s="7" t="s">
        <v>992</v>
      </c>
      <c r="I1112" s="256"/>
      <c r="J1112" s="256"/>
      <c r="K1112" s="568">
        <f>119081+402027</f>
        <v>521108</v>
      </c>
      <c r="L1112" s="39" t="s">
        <v>83</v>
      </c>
      <c r="M1112" s="39" t="s">
        <v>47</v>
      </c>
      <c r="N1112" s="52" t="str">
        <f>IF(AND('331-CT'!$E$7=TH!H1112,OR(L1112="331",M1112="331")),"331",IF(AND(OR(L1112="131",M1112="131"),H1112='131-CT'!$E$7),"131",""))</f>
        <v/>
      </c>
      <c r="O1112" s="896" t="str">
        <f>IF(AND('341-CT'!$E$9=H1112,OR(LEFT(L1112,3)=$O$7,LEFT(M1112,3)=$O$7)),"x","")</f>
        <v/>
      </c>
      <c r="P1112" s="52" t="str">
        <f>IF(AND($B1112&gt;='111'!$N$11,$B1112&lt;='111'!$O$11,OR($L1112=$P$7,$M1112=$P$7)),"x","")</f>
        <v>x</v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>x</v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15">
        <v>3</v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28"/>
        <v>8</v>
      </c>
      <c r="C1113" s="191">
        <f t="shared" si="129"/>
        <v>41857</v>
      </c>
      <c r="D1113" s="191"/>
      <c r="E1113" s="37">
        <v>41857</v>
      </c>
      <c r="F1113" s="189" t="s">
        <v>994</v>
      </c>
      <c r="G1113" s="468" t="s">
        <v>1028</v>
      </c>
      <c r="H1113" s="7" t="s">
        <v>992</v>
      </c>
      <c r="I1113" s="256"/>
      <c r="J1113" s="256"/>
      <c r="K1113" s="568">
        <f>11908+40203</f>
        <v>52111</v>
      </c>
      <c r="L1113" s="39" t="s">
        <v>9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896" t="str">
        <f>IF(AND('341-CT'!$E$9=H1113,OR(LEFT(L1113,3)=$O$7,LEFT(M1113,3)=$O$7)),"x","")</f>
        <v/>
      </c>
      <c r="P1113" s="52" t="str">
        <f>IF(AND($B1113&gt;='111'!$N$11,$B1113&lt;='111'!$O$11,OR($L1113=$P$7,$M1113=$P$7)),"x","")</f>
        <v>x</v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15">
        <v>3</v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28"/>
        <v>8</v>
      </c>
      <c r="C1114" s="191">
        <f t="shared" si="129"/>
        <v>41857</v>
      </c>
      <c r="D1114" s="191" t="s">
        <v>1239</v>
      </c>
      <c r="E1114" s="37">
        <v>41857</v>
      </c>
      <c r="F1114" s="192" t="s">
        <v>1021</v>
      </c>
      <c r="G1114" s="468" t="s">
        <v>1029</v>
      </c>
      <c r="H1114" s="7" t="s">
        <v>1019</v>
      </c>
      <c r="I1114" s="256">
        <v>1500</v>
      </c>
      <c r="J1114" s="256">
        <v>11000</v>
      </c>
      <c r="K1114" s="568">
        <f>ROUND(I1114*J1114,0)</f>
        <v>16500000</v>
      </c>
      <c r="L1114" s="39" t="s">
        <v>161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15">
        <v>3</v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28"/>
        <v>8</v>
      </c>
      <c r="C1115" s="191">
        <f t="shared" si="129"/>
        <v>41857</v>
      </c>
      <c r="D1115" s="191" t="s">
        <v>1239</v>
      </c>
      <c r="E1115" s="37">
        <v>41857</v>
      </c>
      <c r="F1115" s="192" t="s">
        <v>1022</v>
      </c>
      <c r="G1115" s="468" t="s">
        <v>1029</v>
      </c>
      <c r="H1115" s="7" t="s">
        <v>1019</v>
      </c>
      <c r="I1115" s="256"/>
      <c r="J1115" s="256"/>
      <c r="K1115" s="568">
        <v>1650000</v>
      </c>
      <c r="L1115" s="39" t="s">
        <v>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15">
        <v>3</v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ref="B1116" si="130">IF(C1116&lt;&gt;"",MONTH(C1116),"")</f>
        <v>8</v>
      </c>
      <c r="C1116" s="191">
        <f t="shared" ref="C1116" si="131">E1116</f>
        <v>41857</v>
      </c>
      <c r="D1116" s="191"/>
      <c r="E1116" s="37">
        <v>41857</v>
      </c>
      <c r="F1116" s="189" t="s">
        <v>895</v>
      </c>
      <c r="G1116" s="468" t="s">
        <v>1029</v>
      </c>
      <c r="H1116" s="7" t="s">
        <v>1019</v>
      </c>
      <c r="I1116" s="256"/>
      <c r="J1116" s="256"/>
      <c r="K1116" s="568">
        <v>18150000</v>
      </c>
      <c r="L1116" s="39" t="s">
        <v>8</v>
      </c>
      <c r="M1116" s="39" t="s">
        <v>47</v>
      </c>
      <c r="N1116" s="52" t="str">
        <f>IF(AND('331-CT'!$E$7=TH!H1116,OR(L1116="331",M1116="331")),"331",IF(AND(OR(L1116="131",M1116="131"),H1116='131-CT'!$E$7),"131",""))</f>
        <v/>
      </c>
      <c r="O1116" s="896" t="str">
        <f>IF(AND('341-CT'!$E$9=H1116,OR(LEFT(L1116,3)=$O$7,LEFT(M1116,3)=$O$7)),"x","")</f>
        <v/>
      </c>
      <c r="P1116" s="52" t="str">
        <f>IF(AND($B1116&gt;='111'!$N$11,$B1116&lt;='111'!$O$11,OR($L1116=$P$7,$M1116=$P$7)),"x","")</f>
        <v>x</v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15"/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28"/>
        <v>8</v>
      </c>
      <c r="C1117" s="37">
        <f t="shared" si="129"/>
        <v>41858</v>
      </c>
      <c r="D1117" s="191" t="s">
        <v>1232</v>
      </c>
      <c r="E1117" s="730">
        <v>41858</v>
      </c>
      <c r="F1117" s="296" t="s">
        <v>1080</v>
      </c>
      <c r="G1117" s="467" t="s">
        <v>1117</v>
      </c>
      <c r="H1117" s="7" t="s">
        <v>1014</v>
      </c>
      <c r="I1117" s="256">
        <v>4253</v>
      </c>
      <c r="J1117" s="256">
        <v>9200</v>
      </c>
      <c r="K1117" s="568">
        <f>ROUND(I1117*J1117,0)</f>
        <v>39127600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>x</v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15">
        <v>3</v>
      </c>
      <c r="AC1117" s="211" t="str">
        <f t="shared" ref="AC1117:AC1127" si="132">IF(H1117=VLOOKUP(H1117,DSKH,1,0),"","x")</f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28"/>
        <v>8</v>
      </c>
      <c r="C1118" s="37">
        <f t="shared" si="129"/>
        <v>41858</v>
      </c>
      <c r="D1118" s="191" t="s">
        <v>1232</v>
      </c>
      <c r="E1118" s="730">
        <v>41858</v>
      </c>
      <c r="F1118" s="40" t="s">
        <v>1053</v>
      </c>
      <c r="G1118" s="467" t="s">
        <v>1117</v>
      </c>
      <c r="H1118" s="7" t="s">
        <v>1014</v>
      </c>
      <c r="I1118" s="256"/>
      <c r="J1118" s="256"/>
      <c r="K1118" s="568">
        <v>3912760</v>
      </c>
      <c r="L1118" s="39" t="s">
        <v>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15">
        <v>3</v>
      </c>
      <c r="AC1118" s="211" t="str">
        <f t="shared" si="132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28"/>
        <v>8</v>
      </c>
      <c r="C1119" s="37">
        <f t="shared" si="129"/>
        <v>41858</v>
      </c>
      <c r="D1119" s="191" t="s">
        <v>1240</v>
      </c>
      <c r="E1119" s="37">
        <v>41858</v>
      </c>
      <c r="F1119" s="40" t="s">
        <v>1132</v>
      </c>
      <c r="G1119" s="467" t="s">
        <v>830</v>
      </c>
      <c r="H1119" s="7" t="s">
        <v>1131</v>
      </c>
      <c r="I1119" s="256">
        <v>55</v>
      </c>
      <c r="J1119" s="256">
        <v>360000</v>
      </c>
      <c r="K1119" s="568">
        <f>ROUND(I1119*J1119,0)</f>
        <v>19800000</v>
      </c>
      <c r="L1119" s="39" t="s">
        <v>161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15">
        <v>3</v>
      </c>
      <c r="AC1119" s="211" t="str">
        <f t="shared" si="132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ref="B1120" si="133">IF(C1120&lt;&gt;"",MONTH(C1120),"")</f>
        <v>8</v>
      </c>
      <c r="C1120" s="37">
        <f t="shared" ref="C1120" si="134">E1120</f>
        <v>41858</v>
      </c>
      <c r="D1120" s="37"/>
      <c r="E1120" s="37">
        <v>41858</v>
      </c>
      <c r="F1120" s="189" t="s">
        <v>895</v>
      </c>
      <c r="G1120" s="467" t="s">
        <v>830</v>
      </c>
      <c r="H1120" s="7" t="s">
        <v>1131</v>
      </c>
      <c r="I1120" s="256"/>
      <c r="J1120" s="256"/>
      <c r="K1120" s="568">
        <v>19800000</v>
      </c>
      <c r="L1120" s="39" t="s">
        <v>8</v>
      </c>
      <c r="M1120" s="39" t="s">
        <v>47</v>
      </c>
      <c r="N1120" s="52" t="str">
        <f>IF(AND('331-CT'!$E$7=TH!H1120,OR(L1120="331",M1120="331")),"331",IF(AND(OR(L1120="131",M1120="131"),H1120='131-CT'!$E$7),"131",""))</f>
        <v/>
      </c>
      <c r="O1120" s="896" t="str">
        <f>IF(AND('341-CT'!$E$9=H1120,OR(LEFT(L1120,3)=$O$7,LEFT(M1120,3)=$O$7)),"x","")</f>
        <v/>
      </c>
      <c r="P1120" s="52" t="str">
        <f>IF(AND($B1120&gt;='111'!$N$11,$B1120&lt;='111'!$O$11,OR($L1120=$P$7,$M1120=$P$7)),"x","")</f>
        <v>x</v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15"/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28"/>
        <v>8</v>
      </c>
      <c r="C1121" s="37">
        <f t="shared" si="129"/>
        <v>41859</v>
      </c>
      <c r="D1121" s="191" t="s">
        <v>1233</v>
      </c>
      <c r="E1121" s="730">
        <v>41859</v>
      </c>
      <c r="F1121" s="192" t="s">
        <v>1016</v>
      </c>
      <c r="G1121" s="467" t="s">
        <v>1118</v>
      </c>
      <c r="H1121" s="7" t="s">
        <v>1014</v>
      </c>
      <c r="I1121" s="256">
        <v>5274</v>
      </c>
      <c r="J1121" s="256">
        <v>9600</v>
      </c>
      <c r="K1121" s="568">
        <f>ROUND(I1121*J1121,0)</f>
        <v>50630400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15">
        <v>3</v>
      </c>
      <c r="AC1121" s="211" t="str">
        <f t="shared" si="132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28"/>
        <v>8</v>
      </c>
      <c r="C1122" s="37">
        <f t="shared" si="129"/>
        <v>41859</v>
      </c>
      <c r="D1122" s="191" t="s">
        <v>1233</v>
      </c>
      <c r="E1122" s="730">
        <v>41859</v>
      </c>
      <c r="F1122" s="192" t="s">
        <v>1112</v>
      </c>
      <c r="G1122" s="467" t="s">
        <v>1118</v>
      </c>
      <c r="H1122" s="7" t="s">
        <v>1014</v>
      </c>
      <c r="I1122" s="256"/>
      <c r="J1122" s="256"/>
      <c r="K1122" s="568">
        <v>5063040</v>
      </c>
      <c r="L1122" s="39" t="s">
        <v>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15">
        <v>3</v>
      </c>
      <c r="AC1122" s="211" t="str">
        <f t="shared" si="132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28"/>
        <v>8</v>
      </c>
      <c r="C1123" s="37">
        <f t="shared" si="129"/>
        <v>41864</v>
      </c>
      <c r="D1123" s="191" t="s">
        <v>1234</v>
      </c>
      <c r="E1123" s="730">
        <v>41864</v>
      </c>
      <c r="F1123" s="192" t="s">
        <v>1016</v>
      </c>
      <c r="G1123" s="467" t="s">
        <v>1119</v>
      </c>
      <c r="H1123" s="7" t="s">
        <v>1014</v>
      </c>
      <c r="I1123" s="256">
        <v>1694</v>
      </c>
      <c r="J1123" s="256">
        <v>9600</v>
      </c>
      <c r="K1123" s="568">
        <f>ROUND(I1123*J1123,0)</f>
        <v>16262400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15">
        <v>3</v>
      </c>
      <c r="AC1123" s="211" t="str">
        <f t="shared" si="132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28"/>
        <v>8</v>
      </c>
      <c r="C1124" s="37">
        <f t="shared" si="129"/>
        <v>41864</v>
      </c>
      <c r="D1124" s="191" t="s">
        <v>1234</v>
      </c>
      <c r="E1124" s="730">
        <v>41864</v>
      </c>
      <c r="F1124" s="296" t="s">
        <v>1080</v>
      </c>
      <c r="G1124" s="467" t="s">
        <v>1119</v>
      </c>
      <c r="H1124" s="7" t="s">
        <v>1014</v>
      </c>
      <c r="I1124" s="256">
        <v>3430</v>
      </c>
      <c r="J1124" s="256">
        <v>9200</v>
      </c>
      <c r="K1124" s="568">
        <f>ROUND(I1124*J1124,0)</f>
        <v>31556000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>x</v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15">
        <v>3</v>
      </c>
      <c r="AC1124" s="211" t="str">
        <f t="shared" si="132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28"/>
        <v>8</v>
      </c>
      <c r="C1125" s="37">
        <f t="shared" si="129"/>
        <v>41864</v>
      </c>
      <c r="D1125" s="191" t="s">
        <v>1234</v>
      </c>
      <c r="E1125" s="730">
        <v>41864</v>
      </c>
      <c r="F1125" s="192" t="s">
        <v>1112</v>
      </c>
      <c r="G1125" s="467" t="s">
        <v>1119</v>
      </c>
      <c r="H1125" s="7" t="s">
        <v>1014</v>
      </c>
      <c r="I1125" s="256"/>
      <c r="J1125" s="256"/>
      <c r="K1125" s="568">
        <v>4781840</v>
      </c>
      <c r="L1125" s="39" t="s">
        <v>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15">
        <v>3</v>
      </c>
      <c r="AC1125" s="211" t="str">
        <f t="shared" si="132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28"/>
        <v>8</v>
      </c>
      <c r="C1126" s="191">
        <f t="shared" si="129"/>
        <v>41870</v>
      </c>
      <c r="D1126" s="191" t="s">
        <v>1371</v>
      </c>
      <c r="E1126" s="37">
        <v>41870</v>
      </c>
      <c r="F1126" s="189" t="s">
        <v>330</v>
      </c>
      <c r="G1126" s="468" t="s">
        <v>1030</v>
      </c>
      <c r="H1126" s="7" t="s">
        <v>351</v>
      </c>
      <c r="I1126" s="256">
        <v>24</v>
      </c>
      <c r="J1126" s="256">
        <v>45000</v>
      </c>
      <c r="K1126" s="568">
        <f>ROUND(I1126*J1126,0)</f>
        <v>1080000</v>
      </c>
      <c r="L1126" s="39" t="s">
        <v>161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15">
        <v>3</v>
      </c>
      <c r="AC1126" s="211" t="str">
        <f t="shared" si="132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28"/>
        <v>8</v>
      </c>
      <c r="C1127" s="191">
        <f t="shared" si="129"/>
        <v>41870</v>
      </c>
      <c r="D1127" s="191" t="s">
        <v>1371</v>
      </c>
      <c r="E1127" s="37">
        <v>41870</v>
      </c>
      <c r="F1127" s="189" t="s">
        <v>1012</v>
      </c>
      <c r="G1127" s="468" t="s">
        <v>1030</v>
      </c>
      <c r="H1127" s="7" t="s">
        <v>351</v>
      </c>
      <c r="I1127" s="256"/>
      <c r="J1127" s="256"/>
      <c r="K1127" s="568">
        <v>108000</v>
      </c>
      <c r="L1127" s="39" t="s">
        <v>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15">
        <v>3</v>
      </c>
      <c r="AC1127" s="211" t="str">
        <f t="shared" si="132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28"/>
        <v>8</v>
      </c>
      <c r="C1128" s="191">
        <f t="shared" si="129"/>
        <v>41870</v>
      </c>
      <c r="D1128" s="191"/>
      <c r="E1128" s="37">
        <v>41870</v>
      </c>
      <c r="F1128" s="189" t="s">
        <v>895</v>
      </c>
      <c r="G1128" s="468" t="s">
        <v>1030</v>
      </c>
      <c r="H1128" s="7" t="s">
        <v>351</v>
      </c>
      <c r="I1128" s="256"/>
      <c r="J1128" s="256"/>
      <c r="K1128" s="568">
        <v>1188000</v>
      </c>
      <c r="L1128" s="39" t="s">
        <v>8</v>
      </c>
      <c r="M1128" s="39" t="s">
        <v>47</v>
      </c>
      <c r="N1128" s="52" t="str">
        <f>IF(AND('331-CT'!$E$7=TH!H1128,OR(L1128="331",M1128="331")),"331",IF(AND(OR(L1128="131",M1128="131"),H1128='131-CT'!$E$7),"131",""))</f>
        <v/>
      </c>
      <c r="O1128" s="896" t="str">
        <f>IF(AND('341-CT'!$E$9=H1128,OR(LEFT(L1128,3)=$O$7,LEFT(M1128,3)=$O$7)),"x","")</f>
        <v/>
      </c>
      <c r="P1128" s="52" t="str">
        <f>IF(AND($B1128&gt;='111'!$N$11,$B1128&lt;='111'!$O$11,OR($L1128=$P$7,$M1128=$P$7)),"x","")</f>
        <v>x</v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15"/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28"/>
        <v>8</v>
      </c>
      <c r="C1129" s="191">
        <f t="shared" si="129"/>
        <v>41872</v>
      </c>
      <c r="D1129" s="191"/>
      <c r="E1129" s="37">
        <v>41872</v>
      </c>
      <c r="F1129" s="40" t="s">
        <v>1033</v>
      </c>
      <c r="G1129" s="467" t="s">
        <v>1035</v>
      </c>
      <c r="H1129" s="7" t="s">
        <v>1032</v>
      </c>
      <c r="I1129" s="754"/>
      <c r="J1129" s="754"/>
      <c r="K1129" s="568">
        <f>6762+850873</f>
        <v>857635</v>
      </c>
      <c r="L1129" s="39" t="s">
        <v>83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896" t="str">
        <f>IF(AND('341-CT'!$E$9=H1129,OR(LEFT(L1129,3)=$O$7,LEFT(M1129,3)=$O$7)),"x","")</f>
        <v/>
      </c>
      <c r="P1129" s="52" t="str">
        <f>IF(AND($B1129&gt;='111'!$N$11,$B1129&lt;='111'!$O$11,OR($L1129=$P$7,$M1129=$P$7)),"x","")</f>
        <v>x</v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>x</v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15">
        <v>3</v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28"/>
        <v>8</v>
      </c>
      <c r="C1130" s="191">
        <f t="shared" si="129"/>
        <v>41872</v>
      </c>
      <c r="D1130" s="191"/>
      <c r="E1130" s="37">
        <v>41872</v>
      </c>
      <c r="F1130" s="40" t="s">
        <v>1034</v>
      </c>
      <c r="G1130" s="467" t="s">
        <v>1031</v>
      </c>
      <c r="H1130" s="7" t="s">
        <v>1032</v>
      </c>
      <c r="I1130" s="754"/>
      <c r="J1130" s="754"/>
      <c r="K1130" s="568">
        <f>338+85087</f>
        <v>85425</v>
      </c>
      <c r="L1130" s="39" t="s">
        <v>9</v>
      </c>
      <c r="M1130" s="39" t="s">
        <v>47</v>
      </c>
      <c r="N1130" s="52" t="str">
        <f>IF(AND('331-CT'!$E$7=TH!H1130,OR(L1130="331",M1130="331")),"331",IF(AND(OR(L1130="131",M1130="131"),H1130='131-CT'!$E$7),"131",""))</f>
        <v/>
      </c>
      <c r="O1130" s="896" t="str">
        <f>IF(AND('341-CT'!$E$9=H1130,OR(LEFT(L1130,3)=$O$7,LEFT(M1130,3)=$O$7)),"x","")</f>
        <v/>
      </c>
      <c r="P1130" s="52" t="str">
        <f>IF(AND($B1130&gt;='111'!$N$11,$B1130&lt;='111'!$O$11,OR($L1130=$P$7,$M1130=$P$7)),"x","")</f>
        <v>x</v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15">
        <v>3</v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28"/>
        <v>8</v>
      </c>
      <c r="C1131" s="191">
        <f t="shared" si="129"/>
        <v>41873</v>
      </c>
      <c r="D1131" s="191" t="s">
        <v>1372</v>
      </c>
      <c r="E1131" s="37">
        <v>41873</v>
      </c>
      <c r="F1131" s="192" t="s">
        <v>1021</v>
      </c>
      <c r="G1131" s="468" t="s">
        <v>1036</v>
      </c>
      <c r="H1131" s="7" t="s">
        <v>1019</v>
      </c>
      <c r="I1131" s="256">
        <v>1500</v>
      </c>
      <c r="J1131" s="256">
        <v>11000</v>
      </c>
      <c r="K1131" s="568">
        <f>ROUND(I1131*J1131,0)</f>
        <v>16500000</v>
      </c>
      <c r="L1131" s="39" t="s">
        <v>161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15">
        <v>3</v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28"/>
        <v>8</v>
      </c>
      <c r="C1132" s="191">
        <f t="shared" si="129"/>
        <v>41873</v>
      </c>
      <c r="D1132" s="191" t="s">
        <v>1372</v>
      </c>
      <c r="E1132" s="37">
        <v>41873</v>
      </c>
      <c r="F1132" s="192" t="s">
        <v>1022</v>
      </c>
      <c r="G1132" s="468" t="s">
        <v>1036</v>
      </c>
      <c r="H1132" s="7" t="s">
        <v>1019</v>
      </c>
      <c r="I1132" s="256"/>
      <c r="J1132" s="256"/>
      <c r="K1132" s="568">
        <v>1650000</v>
      </c>
      <c r="L1132" s="39" t="s">
        <v>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15">
        <v>3</v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ref="B1133" si="135">IF(C1133&lt;&gt;"",MONTH(C1133),"")</f>
        <v>8</v>
      </c>
      <c r="C1133" s="191">
        <f t="shared" ref="C1133" si="136">E1133</f>
        <v>41873</v>
      </c>
      <c r="D1133" s="191"/>
      <c r="E1133" s="37">
        <v>41873</v>
      </c>
      <c r="F1133" s="189" t="s">
        <v>895</v>
      </c>
      <c r="G1133" s="468" t="s">
        <v>1036</v>
      </c>
      <c r="H1133" s="7" t="s">
        <v>1019</v>
      </c>
      <c r="I1133" s="256"/>
      <c r="J1133" s="256"/>
      <c r="K1133" s="568">
        <v>18150000</v>
      </c>
      <c r="L1133" s="39" t="s">
        <v>8</v>
      </c>
      <c r="M1133" s="39" t="s">
        <v>47</v>
      </c>
      <c r="N1133" s="52" t="str">
        <f>IF(AND('331-CT'!$E$7=TH!H1133,OR(L1133="331",M1133="331")),"331",IF(AND(OR(L1133="131",M1133="131"),H1133='131-CT'!$E$7),"131",""))</f>
        <v/>
      </c>
      <c r="O1133" s="896" t="str">
        <f>IF(AND('341-CT'!$E$9=H1133,OR(LEFT(L1133,3)=$O$7,LEFT(M1133,3)=$O$7)),"x","")</f>
        <v/>
      </c>
      <c r="P1133" s="52" t="str">
        <f>IF(AND($B1133&gt;='111'!$N$11,$B1133&lt;='111'!$O$11,OR($L1133=$P$7,$M1133=$P$7)),"x","")</f>
        <v>x</v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15"/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28"/>
        <v>8</v>
      </c>
      <c r="C1134" s="191">
        <f t="shared" si="129"/>
        <v>41875</v>
      </c>
      <c r="D1134" s="191"/>
      <c r="E1134" s="37">
        <v>41875</v>
      </c>
      <c r="F1134" s="189" t="s">
        <v>995</v>
      </c>
      <c r="G1134" s="468" t="s">
        <v>1037</v>
      </c>
      <c r="H1134" s="7" t="s">
        <v>997</v>
      </c>
      <c r="I1134" s="256"/>
      <c r="J1134" s="256"/>
      <c r="K1134" s="568">
        <v>966048</v>
      </c>
      <c r="L1134" s="39" t="s">
        <v>83</v>
      </c>
      <c r="M1134" s="39" t="s">
        <v>47</v>
      </c>
      <c r="N1134" s="52" t="str">
        <f>IF(AND('331-CT'!$E$7=TH!H1134,OR(L1134="331",M1134="331")),"331",IF(AND(OR(L1134="131",M1134="131"),H1134='131-CT'!$E$7),"131",""))</f>
        <v/>
      </c>
      <c r="O1134" s="896" t="str">
        <f>IF(AND('341-CT'!$E$9=H1134,OR(LEFT(L1134,3)=$O$7,LEFT(M1134,3)=$O$7)),"x","")</f>
        <v/>
      </c>
      <c r="P1134" s="52" t="str">
        <f>IF(AND($B1134&gt;='111'!$N$11,$B1134&lt;='111'!$O$11,OR($L1134=$P$7,$M1134=$P$7)),"x","")</f>
        <v>x</v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>x</v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15">
        <v>3</v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28"/>
        <v>8</v>
      </c>
      <c r="C1135" s="191">
        <f t="shared" si="129"/>
        <v>41875</v>
      </c>
      <c r="D1135" s="191"/>
      <c r="E1135" s="37">
        <v>41875</v>
      </c>
      <c r="F1135" s="189" t="s">
        <v>996</v>
      </c>
      <c r="G1135" s="468" t="s">
        <v>1037</v>
      </c>
      <c r="H1135" s="7" t="s">
        <v>997</v>
      </c>
      <c r="I1135" s="256"/>
      <c r="J1135" s="256"/>
      <c r="K1135" s="568">
        <v>96605</v>
      </c>
      <c r="L1135" s="39" t="s">
        <v>9</v>
      </c>
      <c r="M1135" s="39" t="s">
        <v>47</v>
      </c>
      <c r="N1135" s="52" t="str">
        <f>IF(AND('331-CT'!$E$7=TH!H1135,OR(L1135="331",M1135="331")),"331",IF(AND(OR(L1135="131",M1135="131"),H1135='131-CT'!$E$7),"131",""))</f>
        <v/>
      </c>
      <c r="O1135" s="896" t="str">
        <f>IF(AND('341-CT'!$E$9=H1135,OR(LEFT(L1135,3)=$O$7,LEFT(M1135,3)=$O$7)),"x","")</f>
        <v/>
      </c>
      <c r="P1135" s="52" t="str">
        <f>IF(AND($B1135&gt;='111'!$N$11,$B1135&lt;='111'!$O$11,OR($L1135=$P$7,$M1135=$P$7)),"x","")</f>
        <v>x</v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15">
        <v>3</v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28"/>
        <v>8</v>
      </c>
      <c r="C1136" s="191">
        <f t="shared" si="129"/>
        <v>41881</v>
      </c>
      <c r="D1136" s="191"/>
      <c r="E1136" s="37">
        <v>41881</v>
      </c>
      <c r="F1136" s="192" t="s">
        <v>372</v>
      </c>
      <c r="G1136" s="468" t="s">
        <v>838</v>
      </c>
      <c r="H1136" s="7" t="s">
        <v>1002</v>
      </c>
      <c r="I1136" s="256"/>
      <c r="J1136" s="256"/>
      <c r="K1136" s="568">
        <v>2420000</v>
      </c>
      <c r="L1136" s="39" t="s">
        <v>167</v>
      </c>
      <c r="M1136" s="39" t="s">
        <v>47</v>
      </c>
      <c r="N1136" s="52" t="str">
        <f>IF(AND('331-CT'!$E$7=TH!H1136,OR(L1136="331",M1136="331")),"331",IF(AND(OR(L1136="131",M1136="131"),H1136='131-CT'!$E$7),"131",""))</f>
        <v/>
      </c>
      <c r="O1136" s="896" t="str">
        <f>IF(AND('341-CT'!$E$9=H1136,OR(LEFT(L1136,3)=$O$7,LEFT(M1136,3)=$O$7)),"x","")</f>
        <v/>
      </c>
      <c r="P1136" s="52" t="str">
        <f>IF(AND($B1136&gt;='111'!$N$11,$B1136&lt;='111'!$O$11,OR($L1136=$P$7,$M1136=$P$7)),"x","")</f>
        <v>x</v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15">
        <v>3</v>
      </c>
    </row>
    <row r="1137" spans="1:29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28"/>
        <v>8</v>
      </c>
      <c r="C1137" s="191">
        <f t="shared" si="129"/>
        <v>41881</v>
      </c>
      <c r="D1137" s="191"/>
      <c r="E1137" s="37">
        <v>41881</v>
      </c>
      <c r="F1137" s="192" t="s">
        <v>1003</v>
      </c>
      <c r="G1137" s="468" t="s">
        <v>838</v>
      </c>
      <c r="H1137" s="7" t="s">
        <v>1002</v>
      </c>
      <c r="I1137" s="256"/>
      <c r="J1137" s="256"/>
      <c r="K1137" s="568">
        <v>242000</v>
      </c>
      <c r="L1137" s="39" t="s">
        <v>9</v>
      </c>
      <c r="M1137" s="39" t="s">
        <v>47</v>
      </c>
      <c r="N1137" s="52" t="str">
        <f>IF(AND('331-CT'!$E$7=TH!H1137,OR(L1137="331",M1137="331")),"331",IF(AND(OR(L1137="131",M1137="131"),H1137='131-CT'!$E$7),"131",""))</f>
        <v/>
      </c>
      <c r="O1137" s="896" t="str">
        <f>IF(AND('341-CT'!$E$9=H1137,OR(LEFT(L1137,3)=$O$7,LEFT(M1137,3)=$O$7)),"x","")</f>
        <v/>
      </c>
      <c r="P1137" s="52" t="str">
        <f>IF(AND($B1137&gt;='111'!$N$11,$B1137&lt;='111'!$O$11,OR($L1137=$P$7,$M1137=$P$7)),"x","")</f>
        <v>x</v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15">
        <v>3</v>
      </c>
    </row>
    <row r="1138" spans="1:29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28"/>
        <v>9</v>
      </c>
      <c r="C1138" s="191">
        <f t="shared" si="129"/>
        <v>41889</v>
      </c>
      <c r="D1138" s="191"/>
      <c r="E1138" s="37">
        <v>41889</v>
      </c>
      <c r="F1138" s="189" t="s">
        <v>993</v>
      </c>
      <c r="G1138" s="468" t="s">
        <v>1038</v>
      </c>
      <c r="H1138" s="7" t="s">
        <v>992</v>
      </c>
      <c r="I1138" s="256"/>
      <c r="J1138" s="256"/>
      <c r="K1138" s="568">
        <f>156281+118949+332641</f>
        <v>607871</v>
      </c>
      <c r="L1138" s="39" t="s">
        <v>83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6" t="str">
        <f>IF(AND('341-CT'!$E$9=H1138,OR(LEFT(L1138,3)=$O$7,LEFT(M1138,3)=$O$7)),"x","")</f>
        <v/>
      </c>
      <c r="P1138" s="52" t="str">
        <f>IF(AND($B1138&gt;='111'!$N$11,$B1138&lt;='111'!$O$11,OR($L1138=$P$7,$M1138=$P$7)),"x","")</f>
        <v>x</v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>x</v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15">
        <v>3</v>
      </c>
    </row>
    <row r="1139" spans="1:29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28"/>
        <v>9</v>
      </c>
      <c r="C1139" s="191">
        <f t="shared" si="129"/>
        <v>41889</v>
      </c>
      <c r="D1139" s="191"/>
      <c r="E1139" s="37">
        <v>41889</v>
      </c>
      <c r="F1139" s="189" t="s">
        <v>994</v>
      </c>
      <c r="G1139" s="468" t="s">
        <v>1038</v>
      </c>
      <c r="H1139" s="7" t="s">
        <v>992</v>
      </c>
      <c r="I1139" s="256"/>
      <c r="J1139" s="256"/>
      <c r="K1139" s="568">
        <f>15628+11895+33264</f>
        <v>60787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6" t="str">
        <f>IF(AND('341-CT'!$E$9=H1139,OR(LEFT(L1139,3)=$O$7,LEFT(M1139,3)=$O$7)),"x","")</f>
        <v/>
      </c>
      <c r="P1139" s="52" t="str">
        <f>IF(AND($B1139&gt;='111'!$N$11,$B1139&lt;='111'!$O$11,OR($L1139=$P$7,$M1139=$P$7)),"x","")</f>
        <v>x</v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15">
        <v>3</v>
      </c>
    </row>
    <row r="1140" spans="1:29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28"/>
        <v>9</v>
      </c>
      <c r="C1140" s="191">
        <f t="shared" si="129"/>
        <v>41897</v>
      </c>
      <c r="D1140" s="191"/>
      <c r="E1140" s="37">
        <v>41897</v>
      </c>
      <c r="F1140" s="192" t="s">
        <v>372</v>
      </c>
      <c r="G1140" s="468" t="s">
        <v>862</v>
      </c>
      <c r="H1140" s="7" t="s">
        <v>1002</v>
      </c>
      <c r="I1140" s="256"/>
      <c r="J1140" s="256"/>
      <c r="K1140" s="568">
        <v>4665000</v>
      </c>
      <c r="L1140" s="39" t="s">
        <v>167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6" t="str">
        <f>IF(AND('341-CT'!$E$9=H1140,OR(LEFT(L1140,3)=$O$7,LEFT(M1140,3)=$O$7)),"x","")</f>
        <v/>
      </c>
      <c r="P1140" s="52" t="str">
        <f>IF(AND($B1140&gt;='111'!$N$11,$B1140&lt;='111'!$O$11,OR($L1140=$P$7,$M1140=$P$7)),"x","")</f>
        <v>x</v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15">
        <v>3</v>
      </c>
    </row>
    <row r="1141" spans="1:29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28"/>
        <v>9</v>
      </c>
      <c r="C1141" s="191">
        <f t="shared" si="129"/>
        <v>41897</v>
      </c>
      <c r="D1141" s="191"/>
      <c r="E1141" s="37">
        <v>41897</v>
      </c>
      <c r="F1141" s="192" t="s">
        <v>1003</v>
      </c>
      <c r="G1141" s="468" t="s">
        <v>862</v>
      </c>
      <c r="H1141" s="7" t="s">
        <v>1002</v>
      </c>
      <c r="I1141" s="256"/>
      <c r="J1141" s="256"/>
      <c r="K1141" s="568">
        <v>466500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6" t="str">
        <f>IF(AND('341-CT'!$E$9=H1141,OR(LEFT(L1141,3)=$O$7,LEFT(M1141,3)=$O$7)),"x","")</f>
        <v/>
      </c>
      <c r="P1141" s="52" t="str">
        <f>IF(AND($B1141&gt;='111'!$N$11,$B1141&lt;='111'!$O$11,OR($L1141=$P$7,$M1141=$P$7)),"x","")</f>
        <v>x</v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15">
        <v>3</v>
      </c>
    </row>
    <row r="1142" spans="1:29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28"/>
        <v>9</v>
      </c>
      <c r="C1142" s="37">
        <f t="shared" si="129"/>
        <v>41900</v>
      </c>
      <c r="D1142" s="191" t="s">
        <v>1235</v>
      </c>
      <c r="E1142" s="37">
        <v>41900</v>
      </c>
      <c r="F1142" s="296" t="s">
        <v>1080</v>
      </c>
      <c r="G1142" s="467" t="s">
        <v>600</v>
      </c>
      <c r="H1142" s="7" t="s">
        <v>1054</v>
      </c>
      <c r="I1142" s="256">
        <v>5276</v>
      </c>
      <c r="J1142" s="256">
        <v>7600</v>
      </c>
      <c r="K1142" s="568">
        <f>ROUND(I1142*J1142,0)</f>
        <v>40097600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89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>x</v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15">
        <v>3</v>
      </c>
      <c r="AC1142" s="211" t="str">
        <f t="shared" ref="AC1142:AC1149" si="137">IF(H1142=VLOOKUP(H1142,DSKH,1,0),"","x")</f>
        <v/>
      </c>
    </row>
    <row r="1143" spans="1:29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28"/>
        <v>9</v>
      </c>
      <c r="C1143" s="37">
        <f t="shared" si="129"/>
        <v>41900</v>
      </c>
      <c r="D1143" s="191" t="s">
        <v>1235</v>
      </c>
      <c r="E1143" s="37">
        <v>41900</v>
      </c>
      <c r="F1143" s="40" t="s">
        <v>1053</v>
      </c>
      <c r="G1143" s="467" t="s">
        <v>600</v>
      </c>
      <c r="H1143" s="7" t="s">
        <v>1054</v>
      </c>
      <c r="I1143" s="256"/>
      <c r="J1143" s="256"/>
      <c r="K1143" s="568">
        <v>4009760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89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15">
        <v>3</v>
      </c>
      <c r="AC1143" s="211" t="str">
        <f t="shared" si="137"/>
        <v/>
      </c>
    </row>
    <row r="1144" spans="1:29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28"/>
        <v>9</v>
      </c>
      <c r="C1144" s="37">
        <f t="shared" si="129"/>
        <v>41900</v>
      </c>
      <c r="D1144" s="191" t="s">
        <v>1373</v>
      </c>
      <c r="E1144" s="37">
        <v>41900</v>
      </c>
      <c r="F1144" s="40" t="s">
        <v>1132</v>
      </c>
      <c r="G1144" s="467" t="s">
        <v>832</v>
      </c>
      <c r="H1144" s="7" t="s">
        <v>1131</v>
      </c>
      <c r="I1144" s="256">
        <v>55</v>
      </c>
      <c r="J1144" s="256">
        <v>360000</v>
      </c>
      <c r="K1144" s="568">
        <f>ROUND(I1144*J1144,0)</f>
        <v>19800000</v>
      </c>
      <c r="L1144" s="39" t="s">
        <v>161</v>
      </c>
      <c r="M1144" s="39" t="s">
        <v>8</v>
      </c>
      <c r="N1144" s="52" t="str">
        <f>IF(AND('331-CT'!$E$7=TH!H1144,OR(L1144="331",M1144="331")),"331",IF(AND(OR(L1144="131",M1144="131"),H1144='131-CT'!$E$7),"131",""))</f>
        <v/>
      </c>
      <c r="O1144" s="89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15">
        <v>3</v>
      </c>
      <c r="AC1144" s="211" t="str">
        <f t="shared" si="137"/>
        <v/>
      </c>
    </row>
    <row r="1145" spans="1:29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ref="B1145" si="138">IF(C1145&lt;&gt;"",MONTH(C1145),"")</f>
        <v>9</v>
      </c>
      <c r="C1145" s="37">
        <f t="shared" ref="C1145" si="139">E1145</f>
        <v>41900</v>
      </c>
      <c r="D1145" s="37"/>
      <c r="E1145" s="37">
        <v>41900</v>
      </c>
      <c r="F1145" s="189" t="s">
        <v>895</v>
      </c>
      <c r="G1145" s="467" t="s">
        <v>832</v>
      </c>
      <c r="H1145" s="7" t="s">
        <v>1131</v>
      </c>
      <c r="I1145" s="256"/>
      <c r="J1145" s="256"/>
      <c r="K1145" s="568">
        <v>19800000</v>
      </c>
      <c r="L1145" s="39" t="s">
        <v>8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6" t="str">
        <f>IF(AND('341-CT'!$E$9=H1145,OR(LEFT(L1145,3)=$O$7,LEFT(M1145,3)=$O$7)),"x","")</f>
        <v/>
      </c>
      <c r="P1145" s="52" t="str">
        <f>IF(AND($B1145&gt;='111'!$N$11,$B1145&lt;='111'!$O$11,OR($L1145=$P$7,$M1145=$P$7)),"x","")</f>
        <v>x</v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15"/>
    </row>
    <row r="1146" spans="1:29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28"/>
        <v>9</v>
      </c>
      <c r="C1146" s="37">
        <f t="shared" si="129"/>
        <v>41901</v>
      </c>
      <c r="D1146" s="191" t="s">
        <v>1374</v>
      </c>
      <c r="E1146" s="37">
        <v>41901</v>
      </c>
      <c r="F1146" s="40" t="s">
        <v>1132</v>
      </c>
      <c r="G1146" s="467" t="s">
        <v>836</v>
      </c>
      <c r="H1146" s="7" t="s">
        <v>1131</v>
      </c>
      <c r="I1146" s="256">
        <v>55</v>
      </c>
      <c r="J1146" s="256">
        <v>360000</v>
      </c>
      <c r="K1146" s="568">
        <f>ROUND(I1146*J1146,0)</f>
        <v>19800000</v>
      </c>
      <c r="L1146" s="39" t="s">
        <v>161</v>
      </c>
      <c r="M1146" s="39" t="s">
        <v>8</v>
      </c>
      <c r="N1146" s="52" t="str">
        <f>IF(AND('331-CT'!$E$7=TH!H1146,OR(L1146="331",M1146="331")),"331",IF(AND(OR(L1146="131",M1146="131"),H1146='131-CT'!$E$7),"131",""))</f>
        <v/>
      </c>
      <c r="O1146" s="89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15">
        <v>3</v>
      </c>
      <c r="AC1146" s="211" t="str">
        <f t="shared" si="137"/>
        <v/>
      </c>
    </row>
    <row r="1147" spans="1:29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" si="140">IF(C1147&lt;&gt;"",MONTH(C1147),"")</f>
        <v>9</v>
      </c>
      <c r="C1147" s="37">
        <f t="shared" ref="C1147" si="141">E1147</f>
        <v>41901</v>
      </c>
      <c r="D1147" s="37"/>
      <c r="E1147" s="37">
        <v>41901</v>
      </c>
      <c r="F1147" s="189" t="s">
        <v>895</v>
      </c>
      <c r="G1147" s="467" t="s">
        <v>836</v>
      </c>
      <c r="H1147" s="7" t="s">
        <v>1131</v>
      </c>
      <c r="I1147" s="256"/>
      <c r="J1147" s="256"/>
      <c r="K1147" s="568">
        <v>19800000</v>
      </c>
      <c r="L1147" s="39" t="s">
        <v>8</v>
      </c>
      <c r="M1147" s="39" t="s">
        <v>47</v>
      </c>
      <c r="N1147" s="52" t="str">
        <f>IF(AND('331-CT'!$E$7=TH!H1147,OR(L1147="331",M1147="331")),"331",IF(AND(OR(L1147="131",M1147="131"),H1147='131-CT'!$E$7),"131",""))</f>
        <v/>
      </c>
      <c r="O1147" s="896" t="str">
        <f>IF(AND('341-CT'!$E$9=H1147,OR(LEFT(L1147,3)=$O$7,LEFT(M1147,3)=$O$7)),"x","")</f>
        <v/>
      </c>
      <c r="P1147" s="52" t="str">
        <f>IF(AND($B1147&gt;='111'!$N$11,$B1147&lt;='111'!$O$11,OR($L1147=$P$7,$M1147=$P$7)),"x","")</f>
        <v>x</v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15"/>
    </row>
    <row r="1148" spans="1:29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28"/>
        <v>9</v>
      </c>
      <c r="C1148" s="191">
        <f t="shared" si="129"/>
        <v>41902</v>
      </c>
      <c r="D1148" s="191" t="s">
        <v>1375</v>
      </c>
      <c r="E1148" s="37">
        <v>41902</v>
      </c>
      <c r="F1148" s="189" t="s">
        <v>330</v>
      </c>
      <c r="G1148" s="468" t="s">
        <v>1039</v>
      </c>
      <c r="H1148" s="7" t="s">
        <v>351</v>
      </c>
      <c r="I1148" s="256">
        <v>24</v>
      </c>
      <c r="J1148" s="256">
        <v>45000</v>
      </c>
      <c r="K1148" s="568">
        <f>ROUND(I1148*J1148,0)</f>
        <v>1080000</v>
      </c>
      <c r="L1148" s="39" t="s">
        <v>161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15">
        <v>3</v>
      </c>
      <c r="AC1148" s="211" t="str">
        <f t="shared" si="137"/>
        <v/>
      </c>
    </row>
    <row r="1149" spans="1:29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28"/>
        <v>9</v>
      </c>
      <c r="C1149" s="191">
        <f t="shared" si="129"/>
        <v>41902</v>
      </c>
      <c r="D1149" s="191" t="s">
        <v>1375</v>
      </c>
      <c r="E1149" s="37">
        <v>41902</v>
      </c>
      <c r="F1149" s="189" t="s">
        <v>1012</v>
      </c>
      <c r="G1149" s="468" t="s">
        <v>1039</v>
      </c>
      <c r="H1149" s="7" t="s">
        <v>351</v>
      </c>
      <c r="I1149" s="256"/>
      <c r="J1149" s="256"/>
      <c r="K1149" s="568">
        <v>108000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15">
        <v>3</v>
      </c>
      <c r="AC1149" s="211" t="str">
        <f t="shared" si="137"/>
        <v/>
      </c>
    </row>
    <row r="1150" spans="1:29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28"/>
        <v>9</v>
      </c>
      <c r="C1150" s="191">
        <f t="shared" si="129"/>
        <v>41902</v>
      </c>
      <c r="D1150" s="191"/>
      <c r="E1150" s="37">
        <v>41902</v>
      </c>
      <c r="F1150" s="189" t="s">
        <v>895</v>
      </c>
      <c r="G1150" s="468" t="s">
        <v>1039</v>
      </c>
      <c r="H1150" s="7" t="s">
        <v>351</v>
      </c>
      <c r="I1150" s="256"/>
      <c r="J1150" s="256"/>
      <c r="K1150" s="568">
        <v>1188000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896" t="str">
        <f>IF(AND('341-CT'!$E$9=H1150,OR(LEFT(L1150,3)=$O$7,LEFT(M1150,3)=$O$7)),"x","")</f>
        <v/>
      </c>
      <c r="P1150" s="52" t="str">
        <f>IF(AND($B1150&gt;='111'!$N$11,$B1150&lt;='111'!$O$11,OR($L1150=$P$7,$M1150=$P$7)),"x","")</f>
        <v>x</v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15"/>
    </row>
    <row r="1151" spans="1:29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28"/>
        <v>9</v>
      </c>
      <c r="C1151" s="191">
        <f t="shared" si="129"/>
        <v>41907</v>
      </c>
      <c r="D1151" s="191"/>
      <c r="E1151" s="37">
        <v>41907</v>
      </c>
      <c r="F1151" s="192" t="s">
        <v>372</v>
      </c>
      <c r="G1151" s="468" t="s">
        <v>1040</v>
      </c>
      <c r="H1151" s="7" t="s">
        <v>1002</v>
      </c>
      <c r="I1151" s="256"/>
      <c r="J1151" s="256"/>
      <c r="K1151" s="568">
        <v>3535000</v>
      </c>
      <c r="L1151" s="39" t="s">
        <v>167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6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15">
        <v>3</v>
      </c>
    </row>
    <row r="1152" spans="1:29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28"/>
        <v>9</v>
      </c>
      <c r="C1152" s="191">
        <f t="shared" si="129"/>
        <v>41907</v>
      </c>
      <c r="D1152" s="191"/>
      <c r="E1152" s="37">
        <v>41907</v>
      </c>
      <c r="F1152" s="192" t="s">
        <v>1003</v>
      </c>
      <c r="G1152" s="468" t="s">
        <v>1040</v>
      </c>
      <c r="H1152" s="7" t="s">
        <v>1002</v>
      </c>
      <c r="I1152" s="256"/>
      <c r="J1152" s="256"/>
      <c r="K1152" s="568">
        <v>353500</v>
      </c>
      <c r="L1152" s="39" t="s">
        <v>9</v>
      </c>
      <c r="M1152" s="39" t="s">
        <v>47</v>
      </c>
      <c r="N1152" s="52" t="str">
        <f>IF(AND('331-CT'!$E$7=TH!H1152,OR(L1152="331",M1152="331")),"331",IF(AND(OR(L1152="131",M1152="131"),H1152='131-CT'!$E$7),"131",""))</f>
        <v/>
      </c>
      <c r="O1152" s="896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15">
        <v>3</v>
      </c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28"/>
        <v>10</v>
      </c>
      <c r="C1153" s="37">
        <f t="shared" si="129"/>
        <v>41913</v>
      </c>
      <c r="D1153" s="191" t="s">
        <v>1212</v>
      </c>
      <c r="E1153" s="37">
        <v>41913</v>
      </c>
      <c r="F1153" s="40" t="s">
        <v>1132</v>
      </c>
      <c r="G1153" s="467" t="s">
        <v>838</v>
      </c>
      <c r="H1153" s="7" t="s">
        <v>1131</v>
      </c>
      <c r="I1153" s="256">
        <v>55</v>
      </c>
      <c r="J1153" s="256">
        <v>360000</v>
      </c>
      <c r="K1153" s="568">
        <f>ROUND(I1153*J1153,0)</f>
        <v>19800000</v>
      </c>
      <c r="L1153" s="39" t="s">
        <v>161</v>
      </c>
      <c r="M1153" s="39" t="s">
        <v>8</v>
      </c>
      <c r="N1153" s="52" t="str">
        <f>IF(AND('331-CT'!$E$7=TH!H1153,OR(L1153="331",M1153="331")),"331",IF(AND(OR(L1153="131",M1153="131"),H1153='131-CT'!$E$7),"131",""))</f>
        <v/>
      </c>
      <c r="O1153" s="89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15">
        <v>4</v>
      </c>
    </row>
    <row r="1154" spans="1:29" s="211" customFormat="1" ht="15.75" customHeight="1">
      <c r="A1154" s="204">
        <f>IF(B1154&lt;&gt;"",IF(AND(B1154&gt;=_TM1,B1154&lt;=_TM2,OR(TH!L1154="1111",TH!M1154="1111")),TH!D1154,""),"")</f>
        <v>0</v>
      </c>
      <c r="B1154" s="36">
        <f t="shared" ref="B1154" si="142">IF(C1154&lt;&gt;"",MONTH(C1154),"")</f>
        <v>10</v>
      </c>
      <c r="C1154" s="37">
        <f t="shared" ref="C1154" si="143">E1154</f>
        <v>41913</v>
      </c>
      <c r="D1154" s="37"/>
      <c r="E1154" s="37">
        <v>41913</v>
      </c>
      <c r="F1154" s="189" t="s">
        <v>895</v>
      </c>
      <c r="G1154" s="467" t="s">
        <v>838</v>
      </c>
      <c r="H1154" s="7" t="s">
        <v>1131</v>
      </c>
      <c r="I1154" s="256"/>
      <c r="J1154" s="256"/>
      <c r="K1154" s="568">
        <v>19800000</v>
      </c>
      <c r="L1154" s="39" t="s">
        <v>8</v>
      </c>
      <c r="M1154" s="39" t="s">
        <v>47</v>
      </c>
      <c r="N1154" s="52" t="str">
        <f>IF(AND('331-CT'!$E$7=TH!H1154,OR(L1154="331",M1154="331")),"331",IF(AND(OR(L1154="131",M1154="131"),H1154='131-CT'!$E$7),"131",""))</f>
        <v/>
      </c>
      <c r="O1154" s="89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15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28"/>
        <v>10</v>
      </c>
      <c r="C1155" s="37">
        <f t="shared" si="129"/>
        <v>41914</v>
      </c>
      <c r="D1155" s="191" t="s">
        <v>1236</v>
      </c>
      <c r="E1155" s="37">
        <v>41914</v>
      </c>
      <c r="F1155" s="40" t="s">
        <v>1132</v>
      </c>
      <c r="G1155" s="467" t="s">
        <v>840</v>
      </c>
      <c r="H1155" s="7" t="s">
        <v>1131</v>
      </c>
      <c r="I1155" s="256">
        <v>55</v>
      </c>
      <c r="J1155" s="256">
        <v>360000</v>
      </c>
      <c r="K1155" s="568">
        <f>ROUND(I1155*J1155,0)</f>
        <v>19800000</v>
      </c>
      <c r="L1155" s="39" t="s">
        <v>161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15">
        <v>4</v>
      </c>
    </row>
    <row r="1156" spans="1:29" s="211" customFormat="1" ht="15.75" customHeight="1">
      <c r="A1156" s="204">
        <f>IF(B1156&lt;&gt;"",IF(AND(B1156&gt;=_TM1,B1156&lt;=_TM2,OR(TH!L1156="1111",TH!M1156="1111")),TH!D1156,""),"")</f>
        <v>0</v>
      </c>
      <c r="B1156" s="36">
        <f t="shared" ref="B1156" si="144">IF(C1156&lt;&gt;"",MONTH(C1156),"")</f>
        <v>10</v>
      </c>
      <c r="C1156" s="37">
        <f t="shared" ref="C1156" si="145">E1156</f>
        <v>41914</v>
      </c>
      <c r="D1156" s="37"/>
      <c r="E1156" s="37">
        <v>41914</v>
      </c>
      <c r="F1156" s="189" t="s">
        <v>895</v>
      </c>
      <c r="G1156" s="467" t="s">
        <v>840</v>
      </c>
      <c r="H1156" s="7" t="s">
        <v>1131</v>
      </c>
      <c r="I1156" s="256"/>
      <c r="J1156" s="256"/>
      <c r="K1156" s="568">
        <v>19800000</v>
      </c>
      <c r="L1156" s="39" t="s">
        <v>8</v>
      </c>
      <c r="M1156" s="39" t="s">
        <v>47</v>
      </c>
      <c r="N1156" s="52" t="str">
        <f>IF(AND('331-CT'!$E$7=TH!H1156,OR(L1156="331",M1156="331")),"331",IF(AND(OR(L1156="131",M1156="131"),H1156='131-CT'!$E$7),"131",""))</f>
        <v/>
      </c>
      <c r="O1156" s="89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15"/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28"/>
        <v>10</v>
      </c>
      <c r="C1157" s="191">
        <f t="shared" si="129"/>
        <v>41919</v>
      </c>
      <c r="D1157" s="191" t="s">
        <v>1237</v>
      </c>
      <c r="E1157" s="37">
        <v>41919</v>
      </c>
      <c r="F1157" s="189" t="s">
        <v>1327</v>
      </c>
      <c r="G1157" s="467" t="s">
        <v>1041</v>
      </c>
      <c r="H1157" s="7" t="s">
        <v>1042</v>
      </c>
      <c r="I1157" s="754">
        <v>100</v>
      </c>
      <c r="J1157" s="754">
        <v>17500</v>
      </c>
      <c r="K1157" s="568">
        <f>ROUND(I1157*J1157,0)</f>
        <v>1750000</v>
      </c>
      <c r="L1157" s="39" t="s">
        <v>161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15">
        <v>4</v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28"/>
        <v>10</v>
      </c>
      <c r="C1158" s="191">
        <f t="shared" si="129"/>
        <v>41919</v>
      </c>
      <c r="D1158" s="191" t="s">
        <v>1237</v>
      </c>
      <c r="E1158" s="37">
        <v>41919</v>
      </c>
      <c r="F1158" s="189" t="s">
        <v>1043</v>
      </c>
      <c r="G1158" s="467" t="s">
        <v>1041</v>
      </c>
      <c r="H1158" s="7" t="s">
        <v>1042</v>
      </c>
      <c r="I1158" s="754"/>
      <c r="J1158" s="754"/>
      <c r="K1158" s="568">
        <v>175000</v>
      </c>
      <c r="L1158" s="39" t="s">
        <v>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15">
        <v>4</v>
      </c>
    </row>
    <row r="1159" spans="1:29" s="211" customFormat="1" ht="15.75" customHeight="1">
      <c r="A1159" s="204">
        <f>IF(B1159&lt;&gt;"",IF(AND(B1159&gt;=_TM1,B1159&lt;=_TM2,OR(TH!L1159="1111",TH!M1159="1111")),TH!D1159,""),"")</f>
        <v>0</v>
      </c>
      <c r="B1159" s="36">
        <f t="shared" ref="B1159" si="146">IF(C1159&lt;&gt;"",MONTH(C1159),"")</f>
        <v>10</v>
      </c>
      <c r="C1159" s="191">
        <f t="shared" ref="C1159" si="147">E1159</f>
        <v>41919</v>
      </c>
      <c r="D1159" s="191"/>
      <c r="E1159" s="37">
        <v>41919</v>
      </c>
      <c r="F1159" s="189" t="s">
        <v>895</v>
      </c>
      <c r="G1159" s="467" t="s">
        <v>1041</v>
      </c>
      <c r="H1159" s="7" t="s">
        <v>1042</v>
      </c>
      <c r="I1159" s="754"/>
      <c r="J1159" s="754"/>
      <c r="K1159" s="568">
        <v>1925000</v>
      </c>
      <c r="L1159" s="39" t="s">
        <v>8</v>
      </c>
      <c r="M1159" s="39" t="s">
        <v>47</v>
      </c>
      <c r="N1159" s="52" t="str">
        <f>IF(AND('331-CT'!$E$7=TH!H1159,OR(L1159="331",M1159="331")),"331",IF(AND(OR(L1159="131",M1159="131"),H1159='131-CT'!$E$7),"131",""))</f>
        <v/>
      </c>
      <c r="O1159" s="89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15"/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28"/>
        <v>10</v>
      </c>
      <c r="C1160" s="191">
        <f t="shared" si="129"/>
        <v>41922</v>
      </c>
      <c r="D1160" s="191" t="s">
        <v>1238</v>
      </c>
      <c r="E1160" s="37">
        <v>41922</v>
      </c>
      <c r="F1160" s="189" t="s">
        <v>350</v>
      </c>
      <c r="G1160" s="467" t="s">
        <v>490</v>
      </c>
      <c r="H1160" s="7" t="s">
        <v>1044</v>
      </c>
      <c r="I1160" s="754">
        <v>150</v>
      </c>
      <c r="J1160" s="754">
        <v>20454</v>
      </c>
      <c r="K1160" s="568">
        <f>ROUND(I1160*J1160,0)</f>
        <v>3068100</v>
      </c>
      <c r="L1160" s="39" t="s">
        <v>161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>x</v>
      </c>
      <c r="AA1160" s="52" t="str">
        <f>IF(AND(B1160&lt;=NKC!$N$8,B1160&gt;=NKC!$M$8),"x","")</f>
        <v/>
      </c>
      <c r="AB1160" s="815">
        <v>4</v>
      </c>
      <c r="AC1160" s="211" t="str">
        <f>IF(H1160=VLOOKUP(H1160,DSKH,1,0),"","x")</f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28"/>
        <v>10</v>
      </c>
      <c r="C1161" s="191">
        <f t="shared" si="129"/>
        <v>41922</v>
      </c>
      <c r="D1161" s="191" t="s">
        <v>1238</v>
      </c>
      <c r="E1161" s="37">
        <v>41922</v>
      </c>
      <c r="F1161" s="296" t="s">
        <v>1045</v>
      </c>
      <c r="G1161" s="467" t="s">
        <v>490</v>
      </c>
      <c r="H1161" s="7" t="s">
        <v>1044</v>
      </c>
      <c r="I1161" s="754"/>
      <c r="J1161" s="256"/>
      <c r="K1161" s="568">
        <v>306810</v>
      </c>
      <c r="L1161" s="39" t="s">
        <v>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15">
        <v>4</v>
      </c>
      <c r="AC1161" s="211" t="str">
        <f>IF(H1161=VLOOKUP(H1161,DSKH,1,0),"","x")</f>
        <v/>
      </c>
    </row>
    <row r="1162" spans="1:29" s="211" customFormat="1" ht="15.75" customHeight="1">
      <c r="A1162" s="204">
        <f>IF(B1162&lt;&gt;"",IF(AND(B1162&gt;=_TM1,B1162&lt;=_TM2,OR(TH!L1162="1111",TH!M1162="1111")),TH!D1162,""),"")</f>
        <v>0</v>
      </c>
      <c r="B1162" s="36">
        <f t="shared" si="128"/>
        <v>10</v>
      </c>
      <c r="C1162" s="191">
        <f t="shared" si="129"/>
        <v>41922</v>
      </c>
      <c r="D1162" s="191"/>
      <c r="E1162" s="37">
        <v>41922</v>
      </c>
      <c r="F1162" s="189" t="s">
        <v>895</v>
      </c>
      <c r="G1162" s="467" t="s">
        <v>490</v>
      </c>
      <c r="H1162" s="7" t="s">
        <v>1044</v>
      </c>
      <c r="I1162" s="754"/>
      <c r="J1162" s="256"/>
      <c r="K1162" s="568">
        <v>3374910</v>
      </c>
      <c r="L1162" s="39" t="s">
        <v>8</v>
      </c>
      <c r="M1162" s="39" t="s">
        <v>47</v>
      </c>
      <c r="N1162" s="52" t="str">
        <f>IF(AND('331-CT'!$E$7=TH!H1162,OR(L1162="331",M1162="331")),"331",IF(AND(OR(L1162="131",M1162="131"),H1162='131-CT'!$E$7),"131",""))</f>
        <v/>
      </c>
      <c r="O1162" s="89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15"/>
    </row>
    <row r="1163" spans="1:29" s="211" customFormat="1" ht="15.75" customHeight="1">
      <c r="A1163" s="204">
        <f>IF(B1163&lt;&gt;"",IF(AND(B1163&gt;=_TM1,B1163&lt;=_TM2,OR(TH!L1163="1111",TH!M1163="1111")),TH!D1163,""),"")</f>
        <v>0</v>
      </c>
      <c r="B1163" s="36">
        <f t="shared" si="128"/>
        <v>10</v>
      </c>
      <c r="C1163" s="191">
        <f t="shared" si="129"/>
        <v>41924</v>
      </c>
      <c r="D1163" s="191"/>
      <c r="E1163" s="37">
        <v>41924</v>
      </c>
      <c r="F1163" s="189" t="s">
        <v>993</v>
      </c>
      <c r="G1163" s="468" t="s">
        <v>1060</v>
      </c>
      <c r="H1163" s="7" t="s">
        <v>992</v>
      </c>
      <c r="I1163" s="256"/>
      <c r="J1163" s="256"/>
      <c r="K1163" s="568">
        <f>619595+152992+197907</f>
        <v>970494</v>
      </c>
      <c r="L1163" s="39" t="s">
        <v>83</v>
      </c>
      <c r="M1163" s="39" t="s">
        <v>47</v>
      </c>
      <c r="N1163" s="52" t="str">
        <f>IF(AND('331-CT'!$E$7=TH!H1163,OR(L1163="331",M1163="331")),"331",IF(AND(OR(L1163="131",M1163="131"),H1163='131-CT'!$E$7),"131",""))</f>
        <v/>
      </c>
      <c r="O1163" s="89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>x</v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15">
        <v>4</v>
      </c>
    </row>
    <row r="1164" spans="1:29" s="211" customFormat="1" ht="15.75" customHeight="1">
      <c r="A1164" s="204">
        <f>IF(B1164&lt;&gt;"",IF(AND(B1164&gt;=_TM1,B1164&lt;=_TM2,OR(TH!L1164="1111",TH!M1164="1111")),TH!D1164,""),"")</f>
        <v>0</v>
      </c>
      <c r="B1164" s="36">
        <f t="shared" si="128"/>
        <v>10</v>
      </c>
      <c r="C1164" s="191">
        <f t="shared" si="129"/>
        <v>41924</v>
      </c>
      <c r="D1164" s="191"/>
      <c r="E1164" s="37">
        <v>41924</v>
      </c>
      <c r="F1164" s="189" t="s">
        <v>994</v>
      </c>
      <c r="G1164" s="468" t="s">
        <v>1060</v>
      </c>
      <c r="H1164" s="7" t="s">
        <v>992</v>
      </c>
      <c r="I1164" s="256"/>
      <c r="J1164" s="256"/>
      <c r="K1164" s="568">
        <f>61959+15299+19791</f>
        <v>97049</v>
      </c>
      <c r="L1164" s="843" t="s">
        <v>9</v>
      </c>
      <c r="M1164" s="39" t="s">
        <v>47</v>
      </c>
      <c r="N1164" s="52" t="str">
        <f>IF(AND('331-CT'!$E$7=TH!H1164,OR(L1164="331",M1164="331")),"331",IF(AND(OR(L1164="131",M1164="131"),H1164='131-CT'!$E$7),"131",""))</f>
        <v/>
      </c>
      <c r="O1164" s="89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15">
        <v>4</v>
      </c>
    </row>
    <row r="1165" spans="1:29" s="211" customFormat="1" ht="15.75" customHeight="1">
      <c r="A1165" s="204">
        <f>IF(B1165&lt;&gt;"",IF(AND(B1165&gt;=_TM1,B1165&lt;=_TM2,OR(TH!L1165="1111",TH!M1165="1111")),TH!D1165,""),"")</f>
        <v>0</v>
      </c>
      <c r="B1165" s="36">
        <f t="shared" si="128"/>
        <v>10</v>
      </c>
      <c r="C1165" s="191">
        <f t="shared" si="129"/>
        <v>41925</v>
      </c>
      <c r="D1165" s="191"/>
      <c r="E1165" s="37">
        <v>41925</v>
      </c>
      <c r="F1165" s="40" t="s">
        <v>1046</v>
      </c>
      <c r="G1165" s="467" t="s">
        <v>1048</v>
      </c>
      <c r="H1165" s="7" t="s">
        <v>1049</v>
      </c>
      <c r="I1165" s="754"/>
      <c r="J1165" s="754"/>
      <c r="K1165" s="568">
        <v>1800000</v>
      </c>
      <c r="L1165" s="39" t="s">
        <v>83</v>
      </c>
      <c r="M1165" s="39" t="s">
        <v>47</v>
      </c>
      <c r="N1165" s="52" t="str">
        <f>IF(AND('331-CT'!$E$7=TH!H1165,OR(L1165="331",M1165="331")),"331",IF(AND(OR(L1165="131",M1165="131"),H1165='131-CT'!$E$7),"131",""))</f>
        <v/>
      </c>
      <c r="O1165" s="89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>x</v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15">
        <v>4</v>
      </c>
    </row>
    <row r="1166" spans="1:29" s="211" customFormat="1" ht="15.75" customHeight="1">
      <c r="A1166" s="204">
        <f>IF(B1166&lt;&gt;"",IF(AND(B1166&gt;=_TM1,B1166&lt;=_TM2,OR(TH!L1166="1111",TH!M1166="1111")),TH!D1166,""),"")</f>
        <v>0</v>
      </c>
      <c r="B1166" s="36">
        <f t="shared" si="128"/>
        <v>10</v>
      </c>
      <c r="C1166" s="191">
        <f t="shared" si="129"/>
        <v>41925</v>
      </c>
      <c r="D1166" s="191"/>
      <c r="E1166" s="37">
        <v>41925</v>
      </c>
      <c r="F1166" s="40" t="s">
        <v>1047</v>
      </c>
      <c r="G1166" s="467" t="s">
        <v>1048</v>
      </c>
      <c r="H1166" s="7" t="s">
        <v>1049</v>
      </c>
      <c r="I1166" s="754"/>
      <c r="J1166" s="754"/>
      <c r="K1166" s="568">
        <v>180000</v>
      </c>
      <c r="L1166" s="39" t="s">
        <v>9</v>
      </c>
      <c r="M1166" s="39" t="s">
        <v>47</v>
      </c>
      <c r="N1166" s="52" t="str">
        <f>IF(AND('331-CT'!$E$7=TH!H1166,OR(L1166="331",M1166="331")),"331",IF(AND(OR(L1166="131",M1166="131"),H1166='131-CT'!$E$7),"131",""))</f>
        <v/>
      </c>
      <c r="O1166" s="89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15">
        <v>4</v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28"/>
        <v>10</v>
      </c>
      <c r="C1167" s="37">
        <f t="shared" si="129"/>
        <v>41928</v>
      </c>
      <c r="D1167" s="191" t="s">
        <v>1213</v>
      </c>
      <c r="E1167" s="37">
        <v>41928</v>
      </c>
      <c r="F1167" s="296" t="s">
        <v>1080</v>
      </c>
      <c r="G1167" s="467" t="s">
        <v>1120</v>
      </c>
      <c r="H1167" s="7" t="s">
        <v>1121</v>
      </c>
      <c r="I1167" s="256">
        <v>2160</v>
      </c>
      <c r="J1167" s="256">
        <v>7200</v>
      </c>
      <c r="K1167" s="568">
        <f>ROUND(I1167*J1167,0)</f>
        <v>15552000</v>
      </c>
      <c r="L1167" s="39" t="s">
        <v>159</v>
      </c>
      <c r="M1167" s="39" t="s">
        <v>8</v>
      </c>
      <c r="N1167" s="52" t="str">
        <f>IF(AND('331-CT'!$E$7=TH!H1167,OR(L1167="331",M1167="331")),"331",IF(AND(OR(L1167="131",M1167="131"),H1167='131-CT'!$E$7),"131",""))</f>
        <v/>
      </c>
      <c r="O1167" s="89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>x</v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15">
        <v>4</v>
      </c>
      <c r="AC1167" s="211" t="str">
        <f>IF(H1167=VLOOKUP(H1167,DSKH,1,0),"","x")</f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ref="B1168" si="148">IF(C1168&lt;&gt;"",MONTH(C1168),"")</f>
        <v>10</v>
      </c>
      <c r="C1168" s="37">
        <f t="shared" ref="C1168" si="149">E1168</f>
        <v>41928</v>
      </c>
      <c r="D1168" s="191" t="s">
        <v>1213</v>
      </c>
      <c r="E1168" s="37">
        <v>41928</v>
      </c>
      <c r="F1168" s="40" t="s">
        <v>1053</v>
      </c>
      <c r="G1168" s="467" t="s">
        <v>1120</v>
      </c>
      <c r="H1168" s="7" t="s">
        <v>1121</v>
      </c>
      <c r="I1168" s="256"/>
      <c r="J1168" s="256"/>
      <c r="K1168" s="568">
        <v>1555200</v>
      </c>
      <c r="L1168" s="39" t="s">
        <v>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15">
        <v>4</v>
      </c>
      <c r="AC1168" s="211" t="str">
        <f>IF(H1168=VLOOKUP(H1168,DSKH,1,0),"","x")</f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>NL/N01</v>
      </c>
      <c r="B1169" s="36">
        <f t="shared" si="128"/>
        <v>10</v>
      </c>
      <c r="C1169" s="37">
        <f t="shared" si="129"/>
        <v>41928</v>
      </c>
      <c r="D1169" s="191" t="s">
        <v>1213</v>
      </c>
      <c r="E1169" s="37">
        <v>41928</v>
      </c>
      <c r="F1169" s="189" t="s">
        <v>895</v>
      </c>
      <c r="G1169" s="467" t="s">
        <v>1120</v>
      </c>
      <c r="H1169" s="7" t="s">
        <v>1121</v>
      </c>
      <c r="I1169" s="256"/>
      <c r="J1169" s="256"/>
      <c r="K1169" s="568">
        <v>17107200</v>
      </c>
      <c r="L1169" s="39" t="s">
        <v>8</v>
      </c>
      <c r="M1169" s="39" t="s">
        <v>47</v>
      </c>
      <c r="N1169" s="52" t="str">
        <f>IF(AND('331-CT'!$E$7=TH!H1169,OR(L1169="331",M1169="331")),"331",IF(AND(OR(L1169="131",M1169="131"),H1169='131-CT'!$E$7),"131",""))</f>
        <v/>
      </c>
      <c r="O1169" s="89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15"/>
      <c r="AC1169" s="211" t="str">
        <f>IF(H1169=VLOOKUP(H1169,DSKH,1,0),"","x")</f>
        <v/>
      </c>
    </row>
    <row r="1170" spans="1:29" s="211" customFormat="1" ht="15.75" customHeight="1">
      <c r="A1170" s="204">
        <f>IF(B1170&lt;&gt;"",IF(AND(B1170&gt;=_TM1,B1170&lt;=_TM2,OR(TH!L1170="1111",TH!M1170="1111")),TH!D1170,""),"")</f>
        <v>0</v>
      </c>
      <c r="B1170" s="36">
        <f t="shared" si="128"/>
        <v>10</v>
      </c>
      <c r="C1170" s="191">
        <f t="shared" si="129"/>
        <v>41936</v>
      </c>
      <c r="D1170" s="191"/>
      <c r="E1170" s="37">
        <v>41936</v>
      </c>
      <c r="F1170" s="192" t="s">
        <v>372</v>
      </c>
      <c r="G1170" s="468" t="s">
        <v>1050</v>
      </c>
      <c r="H1170" s="7" t="s">
        <v>1002</v>
      </c>
      <c r="I1170" s="256"/>
      <c r="J1170" s="256"/>
      <c r="K1170" s="568">
        <v>2260000</v>
      </c>
      <c r="L1170" s="39" t="s">
        <v>167</v>
      </c>
      <c r="M1170" s="39" t="s">
        <v>47</v>
      </c>
      <c r="N1170" s="52" t="str">
        <f>IF(AND('331-CT'!$E$7=TH!H1170,OR(L1170="331",M1170="331")),"331",IF(AND(OR(L1170="131",M1170="131"),H1170='131-CT'!$E$7),"131",""))</f>
        <v/>
      </c>
      <c r="O1170" s="89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15">
        <v>4</v>
      </c>
    </row>
    <row r="1171" spans="1:29" s="211" customFormat="1" ht="15.75" customHeight="1">
      <c r="A1171" s="204">
        <f>IF(B1171&lt;&gt;"",IF(AND(B1171&gt;=_TM1,B1171&lt;=_TM2,OR(TH!L1171="1111",TH!M1171="1111")),TH!D1171,""),"")</f>
        <v>0</v>
      </c>
      <c r="B1171" s="36">
        <f t="shared" si="128"/>
        <v>10</v>
      </c>
      <c r="C1171" s="191">
        <f t="shared" si="129"/>
        <v>41936</v>
      </c>
      <c r="D1171" s="191"/>
      <c r="E1171" s="37">
        <v>41936</v>
      </c>
      <c r="F1171" s="192" t="s">
        <v>1003</v>
      </c>
      <c r="G1171" s="468" t="s">
        <v>1050</v>
      </c>
      <c r="H1171" s="7" t="s">
        <v>1002</v>
      </c>
      <c r="I1171" s="256"/>
      <c r="J1171" s="256"/>
      <c r="K1171" s="568">
        <v>226000</v>
      </c>
      <c r="L1171" s="39" t="s">
        <v>9</v>
      </c>
      <c r="M1171" s="39" t="s">
        <v>47</v>
      </c>
      <c r="N1171" s="52" t="str">
        <f>IF(AND('331-CT'!$E$7=TH!H1171,OR(L1171="331",M1171="331")),"331",IF(AND(OR(L1171="131",M1171="131"),H1171='131-CT'!$E$7),"131",""))</f>
        <v/>
      </c>
      <c r="O1171" s="89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15">
        <v>4</v>
      </c>
    </row>
    <row r="1172" spans="1:29" s="211" customFormat="1" ht="15.75" customHeight="1">
      <c r="A1172" s="204">
        <f>IF(B1172&lt;&gt;"",IF(AND(B1172&gt;=_TM1,B1172&lt;=_TM2,OR(TH!L1172="1111",TH!M1172="1111")),TH!D1172,""),"")</f>
        <v>0</v>
      </c>
      <c r="B1172" s="36">
        <f t="shared" si="128"/>
        <v>10</v>
      </c>
      <c r="C1172" s="191">
        <f t="shared" si="129"/>
        <v>41940</v>
      </c>
      <c r="D1172" s="191"/>
      <c r="E1172" s="37">
        <v>41940</v>
      </c>
      <c r="F1172" s="40" t="s">
        <v>1033</v>
      </c>
      <c r="G1172" s="467" t="s">
        <v>823</v>
      </c>
      <c r="H1172" s="7" t="s">
        <v>1051</v>
      </c>
      <c r="I1172" s="754"/>
      <c r="J1172" s="754"/>
      <c r="K1172" s="568">
        <v>788636</v>
      </c>
      <c r="L1172" s="39" t="s">
        <v>83</v>
      </c>
      <c r="M1172" s="39" t="s">
        <v>47</v>
      </c>
      <c r="N1172" s="52" t="str">
        <f>IF(AND('331-CT'!$E$7=TH!H1172,OR(L1172="331",M1172="331")),"331",IF(AND(OR(L1172="131",M1172="131"),H1172='131-CT'!$E$7),"131",""))</f>
        <v/>
      </c>
      <c r="O1172" s="89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>x</v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15">
        <v>4</v>
      </c>
    </row>
    <row r="1173" spans="1:29" s="211" customFormat="1" ht="15.75" customHeight="1">
      <c r="A1173" s="204">
        <f>IF(B1173&lt;&gt;"",IF(AND(B1173&gt;=_TM1,B1173&lt;=_TM2,OR(TH!L1173="1111",TH!M1173="1111")),TH!D1173,""),"")</f>
        <v>0</v>
      </c>
      <c r="B1173" s="36">
        <f t="shared" si="128"/>
        <v>10</v>
      </c>
      <c r="C1173" s="191">
        <f t="shared" si="129"/>
        <v>41940</v>
      </c>
      <c r="D1173" s="191"/>
      <c r="E1173" s="37">
        <v>41940</v>
      </c>
      <c r="F1173" s="40" t="s">
        <v>1034</v>
      </c>
      <c r="G1173" s="467" t="s">
        <v>823</v>
      </c>
      <c r="H1173" s="7" t="s">
        <v>1051</v>
      </c>
      <c r="I1173" s="754"/>
      <c r="J1173" s="754"/>
      <c r="K1173" s="568">
        <v>78864</v>
      </c>
      <c r="L1173" s="39" t="s">
        <v>9</v>
      </c>
      <c r="M1173" s="39" t="s">
        <v>47</v>
      </c>
      <c r="N1173" s="52" t="str">
        <f>IF(AND('331-CT'!$E$7=TH!H1173,OR(L1173="331",M1173="331")),"331",IF(AND(OR(L1173="131",M1173="131"),H1173='131-CT'!$E$7),"131",""))</f>
        <v/>
      </c>
      <c r="O1173" s="89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15">
        <v>4</v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28"/>
        <v>10</v>
      </c>
      <c r="C1174" s="37">
        <f t="shared" si="129"/>
        <v>41941</v>
      </c>
      <c r="D1174" s="191" t="s">
        <v>1214</v>
      </c>
      <c r="E1174" s="37">
        <v>41941</v>
      </c>
      <c r="F1174" s="296" t="s">
        <v>1080</v>
      </c>
      <c r="G1174" s="467" t="s">
        <v>1122</v>
      </c>
      <c r="H1174" s="7" t="s">
        <v>1121</v>
      </c>
      <c r="I1174" s="256">
        <v>2342</v>
      </c>
      <c r="J1174" s="256">
        <v>7200</v>
      </c>
      <c r="K1174" s="568">
        <f>ROUND(I1174*J1174,0)</f>
        <v>16862400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15">
        <v>4</v>
      </c>
      <c r="AC1174" s="211" t="str">
        <f>IF(H1174=VLOOKUP(H1174,DSKH,1,0),"","x")</f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ref="B1175" si="150">IF(C1175&lt;&gt;"",MONTH(C1175),"")</f>
        <v>10</v>
      </c>
      <c r="C1175" s="37">
        <f t="shared" ref="C1175" si="151">E1175</f>
        <v>41941</v>
      </c>
      <c r="D1175" s="191" t="s">
        <v>1214</v>
      </c>
      <c r="E1175" s="37">
        <v>41941</v>
      </c>
      <c r="F1175" s="40" t="s">
        <v>1053</v>
      </c>
      <c r="G1175" s="467" t="s">
        <v>1122</v>
      </c>
      <c r="H1175" s="7" t="s">
        <v>1121</v>
      </c>
      <c r="I1175" s="256"/>
      <c r="J1175" s="256"/>
      <c r="K1175" s="568">
        <v>1686240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15">
        <v>4</v>
      </c>
      <c r="AC1175" s="211" t="str">
        <f>IF(H1175=VLOOKUP(H1175,DSKH,1,0),"","x")</f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>NL/N02</v>
      </c>
      <c r="B1176" s="36">
        <f t="shared" si="128"/>
        <v>10</v>
      </c>
      <c r="C1176" s="37">
        <f t="shared" si="129"/>
        <v>41941</v>
      </c>
      <c r="D1176" s="191" t="s">
        <v>1214</v>
      </c>
      <c r="E1176" s="37">
        <v>41941</v>
      </c>
      <c r="F1176" s="189" t="s">
        <v>895</v>
      </c>
      <c r="G1176" s="467" t="s">
        <v>1122</v>
      </c>
      <c r="H1176" s="7" t="s">
        <v>1121</v>
      </c>
      <c r="I1176" s="256"/>
      <c r="J1176" s="256"/>
      <c r="K1176" s="568">
        <v>18548640</v>
      </c>
      <c r="L1176" s="39" t="s">
        <v>8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15"/>
      <c r="AC1176" s="211" t="str">
        <f>IF(H1176=VLOOKUP(H1176,DSKH,1,0),"","x")</f>
        <v/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28"/>
        <v>10</v>
      </c>
      <c r="C1177" s="191">
        <f t="shared" si="129"/>
        <v>41943</v>
      </c>
      <c r="D1177" s="191" t="s">
        <v>1239</v>
      </c>
      <c r="E1177" s="37">
        <v>41943</v>
      </c>
      <c r="F1177" s="189" t="s">
        <v>330</v>
      </c>
      <c r="G1177" s="468" t="s">
        <v>1052</v>
      </c>
      <c r="H1177" s="7" t="s">
        <v>351</v>
      </c>
      <c r="I1177" s="256">
        <v>24</v>
      </c>
      <c r="J1177" s="256">
        <v>45000</v>
      </c>
      <c r="K1177" s="568">
        <f>ROUND(I1177*J1177,0)</f>
        <v>1080000</v>
      </c>
      <c r="L1177" s="39" t="s">
        <v>161</v>
      </c>
      <c r="M1177" s="39" t="s">
        <v>8</v>
      </c>
      <c r="N1177" s="52" t="str">
        <f>IF(AND('331-CT'!$E$7=TH!H1177,OR(L1177="331",M1177="331")),"331",IF(AND(OR(L1177="131",M1177="131"),H1177='131-CT'!$E$7),"131",""))</f>
        <v/>
      </c>
      <c r="O1177" s="896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15">
        <v>4</v>
      </c>
      <c r="AC1177" s="211" t="str">
        <f>IF(H1177=VLOOKUP(H1177,DSKH,1,0),"","x")</f>
        <v/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28"/>
        <v>10</v>
      </c>
      <c r="C1178" s="191">
        <f t="shared" si="129"/>
        <v>41943</v>
      </c>
      <c r="D1178" s="191" t="s">
        <v>1239</v>
      </c>
      <c r="E1178" s="37">
        <v>41943</v>
      </c>
      <c r="F1178" s="189" t="s">
        <v>1012</v>
      </c>
      <c r="G1178" s="468" t="s">
        <v>1052</v>
      </c>
      <c r="H1178" s="7" t="s">
        <v>351</v>
      </c>
      <c r="I1178" s="256"/>
      <c r="J1178" s="256"/>
      <c r="K1178" s="568">
        <v>108000</v>
      </c>
      <c r="L1178" s="39" t="s">
        <v>9</v>
      </c>
      <c r="M1178" s="39" t="s">
        <v>8</v>
      </c>
      <c r="N1178" s="52" t="str">
        <f>IF(AND('331-CT'!$E$7=TH!H1178,OR(L1178="331",M1178="331")),"331",IF(AND(OR(L1178="131",M1178="131"),H1178='131-CT'!$E$7),"131",""))</f>
        <v/>
      </c>
      <c r="O1178" s="89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15">
        <v>4</v>
      </c>
      <c r="AC1178" s="211" t="str">
        <f>IF(H1178=VLOOKUP(H1178,DSKH,1,0),"","x")</f>
        <v/>
      </c>
    </row>
    <row r="1179" spans="1:29" s="211" customFormat="1" ht="15.75" customHeight="1">
      <c r="A1179" s="204">
        <f>IF(B1179&lt;&gt;"",IF(AND(B1179&gt;=_TM1,B1179&lt;=_TM2,OR(TH!L1179="1111",TH!M1179="1111")),TH!D1179,""),"")</f>
        <v>0</v>
      </c>
      <c r="B1179" s="36">
        <f t="shared" si="128"/>
        <v>10</v>
      </c>
      <c r="C1179" s="191">
        <f t="shared" si="129"/>
        <v>41943</v>
      </c>
      <c r="D1179" s="191"/>
      <c r="E1179" s="37">
        <v>41943</v>
      </c>
      <c r="F1179" s="189" t="s">
        <v>895</v>
      </c>
      <c r="G1179" s="468" t="s">
        <v>1052</v>
      </c>
      <c r="H1179" s="7" t="s">
        <v>351</v>
      </c>
      <c r="I1179" s="256"/>
      <c r="J1179" s="256"/>
      <c r="K1179" s="568">
        <v>1188000</v>
      </c>
      <c r="L1179" s="39" t="s">
        <v>8</v>
      </c>
      <c r="M1179" s="39" t="s">
        <v>47</v>
      </c>
      <c r="N1179" s="52" t="str">
        <f>IF(AND('331-CT'!$E$7=TH!H1179,OR(L1179="331",M1179="331")),"331",IF(AND(OR(L1179="131",M1179="131"),H1179='131-CT'!$E$7),"131",""))</f>
        <v/>
      </c>
      <c r="O1179" s="89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15"/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28"/>
        <v>11</v>
      </c>
      <c r="C1180" s="191">
        <f t="shared" si="129"/>
        <v>41946</v>
      </c>
      <c r="D1180" s="191" t="s">
        <v>1215</v>
      </c>
      <c r="E1180" s="37">
        <v>41946</v>
      </c>
      <c r="F1180" s="296" t="s">
        <v>1080</v>
      </c>
      <c r="G1180" s="467" t="s">
        <v>662</v>
      </c>
      <c r="H1180" s="7" t="s">
        <v>1054</v>
      </c>
      <c r="I1180" s="754">
        <v>2300</v>
      </c>
      <c r="J1180" s="754">
        <v>7800</v>
      </c>
      <c r="K1180" s="568">
        <f>ROUND(I1180*J1180,0)</f>
        <v>17940000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/>
      </c>
      <c r="O1180" s="89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>x</v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15">
        <v>4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ref="B1181" si="152">IF(C1181&lt;&gt;"",MONTH(C1181),"")</f>
        <v>11</v>
      </c>
      <c r="C1181" s="191">
        <f t="shared" ref="C1181" si="153">E1181</f>
        <v>41946</v>
      </c>
      <c r="D1181" s="191" t="s">
        <v>1215</v>
      </c>
      <c r="E1181" s="37">
        <v>41946</v>
      </c>
      <c r="F1181" s="296" t="s">
        <v>1053</v>
      </c>
      <c r="G1181" s="467" t="s">
        <v>662</v>
      </c>
      <c r="H1181" s="7" t="s">
        <v>1054</v>
      </c>
      <c r="I1181" s="754"/>
      <c r="J1181" s="754"/>
      <c r="K1181" s="568">
        <v>1794000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/>
      </c>
      <c r="O1181" s="89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15">
        <v>4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>NL/N03</v>
      </c>
      <c r="B1182" s="36">
        <f t="shared" ref="B1182:B1235" si="154">IF(C1182&lt;&gt;"",MONTH(C1182),"")</f>
        <v>11</v>
      </c>
      <c r="C1182" s="191">
        <f t="shared" ref="C1182:C1235" si="155">E1182</f>
        <v>41946</v>
      </c>
      <c r="D1182" s="191" t="s">
        <v>1215</v>
      </c>
      <c r="E1182" s="37">
        <v>41946</v>
      </c>
      <c r="F1182" s="189" t="s">
        <v>895</v>
      </c>
      <c r="G1182" s="467" t="s">
        <v>662</v>
      </c>
      <c r="H1182" s="7" t="s">
        <v>1054</v>
      </c>
      <c r="I1182" s="754"/>
      <c r="J1182" s="754"/>
      <c r="K1182" s="568">
        <v>19734000</v>
      </c>
      <c r="L1182" s="39" t="s">
        <v>8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15"/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54"/>
        <v>11</v>
      </c>
      <c r="C1183" s="37">
        <f t="shared" si="155"/>
        <v>41949</v>
      </c>
      <c r="D1183" s="191" t="s">
        <v>1216</v>
      </c>
      <c r="E1183" s="823">
        <v>41949</v>
      </c>
      <c r="F1183" s="296" t="s">
        <v>1080</v>
      </c>
      <c r="G1183" s="467" t="s">
        <v>674</v>
      </c>
      <c r="H1183" s="7" t="s">
        <v>1054</v>
      </c>
      <c r="I1183" s="256">
        <v>2220</v>
      </c>
      <c r="J1183" s="256">
        <v>7800</v>
      </c>
      <c r="K1183" s="568">
        <f>ROUND(I1183*J1183,0)</f>
        <v>17316000</v>
      </c>
      <c r="L1183" s="39" t="s">
        <v>159</v>
      </c>
      <c r="M1183" s="39" t="s">
        <v>8</v>
      </c>
      <c r="N1183" s="52" t="str">
        <f>IF(AND('331-CT'!$E$7=TH!H1183,OR(L1183="331",M1183="331")),"331",IF(AND(OR(L1183="131",M1183="131"),H1183='131-CT'!$E$7),"131",""))</f>
        <v/>
      </c>
      <c r="O1183" s="89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>x</v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15">
        <v>4</v>
      </c>
      <c r="AC1183" s="211" t="str">
        <f>IF(H1183=VLOOKUP(H1183,DSKH,1,0),"","x")</f>
        <v/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ref="B1184" si="156">IF(C1184&lt;&gt;"",MONTH(C1184),"")</f>
        <v>11</v>
      </c>
      <c r="C1184" s="37">
        <f t="shared" ref="C1184" si="157">E1184</f>
        <v>41949</v>
      </c>
      <c r="D1184" s="191" t="s">
        <v>1216</v>
      </c>
      <c r="E1184" s="823">
        <v>41949</v>
      </c>
      <c r="F1184" s="40" t="s">
        <v>1053</v>
      </c>
      <c r="G1184" s="467" t="s">
        <v>674</v>
      </c>
      <c r="H1184" s="7" t="s">
        <v>1054</v>
      </c>
      <c r="I1184" s="256"/>
      <c r="J1184" s="256"/>
      <c r="K1184" s="568">
        <v>1731600</v>
      </c>
      <c r="L1184" s="39" t="s">
        <v>9</v>
      </c>
      <c r="M1184" s="39" t="s">
        <v>8</v>
      </c>
      <c r="N1184" s="52" t="str">
        <f>IF(AND('331-CT'!$E$7=TH!H1184,OR(L1184="331",M1184="331")),"331",IF(AND(OR(L1184="131",M1184="131"),H1184='131-CT'!$E$7),"131",""))</f>
        <v/>
      </c>
      <c r="O1184" s="89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15">
        <v>4</v>
      </c>
      <c r="AC1184" s="211" t="str">
        <f>IF(H1184=VLOOKUP(H1184,DSKH,1,0),"","x")</f>
        <v/>
      </c>
    </row>
    <row r="1185" spans="1:31" s="211" customFormat="1" ht="15.75" customHeight="1">
      <c r="A1185" s="204" t="str">
        <f>IF(B1185&lt;&gt;"",IF(AND(B1185&gt;=_TM1,B1185&lt;=_TM2,OR(TH!L1185="1111",TH!M1185="1111")),TH!D1185,""),"")</f>
        <v>NL/N04</v>
      </c>
      <c r="B1185" s="36">
        <f t="shared" si="154"/>
        <v>11</v>
      </c>
      <c r="C1185" s="37">
        <f t="shared" si="155"/>
        <v>41949</v>
      </c>
      <c r="D1185" s="191" t="s">
        <v>1216</v>
      </c>
      <c r="E1185" s="823">
        <v>41949</v>
      </c>
      <c r="F1185" s="189" t="s">
        <v>895</v>
      </c>
      <c r="G1185" s="467" t="s">
        <v>674</v>
      </c>
      <c r="H1185" s="7" t="s">
        <v>1054</v>
      </c>
      <c r="I1185" s="256"/>
      <c r="J1185" s="256"/>
      <c r="K1185" s="568">
        <v>19047600</v>
      </c>
      <c r="L1185" s="39" t="s">
        <v>8</v>
      </c>
      <c r="M1185" s="39" t="s">
        <v>47</v>
      </c>
      <c r="N1185" s="52" t="str">
        <f>IF(AND('331-CT'!$E$7=TH!H1185,OR(L1185="331",M1185="331")),"331",IF(AND(OR(L1185="131",M1185="131"),H1185='131-CT'!$E$7),"131",""))</f>
        <v/>
      </c>
      <c r="O1185" s="89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15"/>
    </row>
    <row r="1186" spans="1:31" s="211" customFormat="1" ht="15.75" customHeight="1">
      <c r="A1186" s="204">
        <f>IF(B1186&lt;&gt;"",IF(AND(B1186&gt;=_TM1,B1186&lt;=_TM2,OR(TH!L1186="1111",TH!M1186="1111")),TH!D1186,""),"")</f>
        <v>0</v>
      </c>
      <c r="B1186" s="36">
        <f t="shared" si="154"/>
        <v>11</v>
      </c>
      <c r="C1186" s="191">
        <f t="shared" si="155"/>
        <v>41950</v>
      </c>
      <c r="D1186" s="191"/>
      <c r="E1186" s="37">
        <v>41950</v>
      </c>
      <c r="F1186" s="189" t="s">
        <v>993</v>
      </c>
      <c r="G1186" s="468" t="s">
        <v>1061</v>
      </c>
      <c r="H1186" s="7" t="s">
        <v>992</v>
      </c>
      <c r="I1186" s="256"/>
      <c r="J1186" s="256"/>
      <c r="K1186" s="568">
        <f>205000+818930+139022</f>
        <v>1162952</v>
      </c>
      <c r="L1186" s="39" t="s">
        <v>83</v>
      </c>
      <c r="M1186" s="39" t="s">
        <v>47</v>
      </c>
      <c r="N1186" s="52" t="str">
        <f>IF(AND('331-CT'!$E$7=TH!H1186,OR(L1186="331",M1186="331")),"331",IF(AND(OR(L1186="131",M1186="131"),H1186='131-CT'!$E$7),"131",""))</f>
        <v/>
      </c>
      <c r="O1186" s="89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>x</v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15"/>
    </row>
    <row r="1187" spans="1:31" s="211" customFormat="1" ht="15.75" customHeight="1">
      <c r="A1187" s="204">
        <f>IF(B1187&lt;&gt;"",IF(AND(B1187&gt;=_TM1,B1187&lt;=_TM2,OR(TH!L1187="1111",TH!M1187="1111")),TH!D1187,""),"")</f>
        <v>0</v>
      </c>
      <c r="B1187" s="36">
        <f t="shared" si="154"/>
        <v>11</v>
      </c>
      <c r="C1187" s="191">
        <f t="shared" si="155"/>
        <v>41950</v>
      </c>
      <c r="D1187" s="184"/>
      <c r="E1187" s="37">
        <v>41950</v>
      </c>
      <c r="F1187" s="189" t="s">
        <v>994</v>
      </c>
      <c r="G1187" s="468" t="s">
        <v>1061</v>
      </c>
      <c r="H1187" s="7" t="s">
        <v>992</v>
      </c>
      <c r="I1187" s="256"/>
      <c r="J1187" s="256"/>
      <c r="K1187" s="568">
        <f>20500+81893+13901</f>
        <v>116294</v>
      </c>
      <c r="L1187" s="843" t="s">
        <v>9</v>
      </c>
      <c r="M1187" s="39" t="s">
        <v>47</v>
      </c>
      <c r="N1187" s="52" t="str">
        <f>IF(AND('331-CT'!$E$7=TH!H1187,OR(L1187="331",M1187="331")),"331",IF(AND(OR(L1187="131",M1187="131"),H1187='131-CT'!$E$7),"131",""))</f>
        <v/>
      </c>
      <c r="O1187" s="89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15">
        <v>4</v>
      </c>
      <c r="AC1187" s="560"/>
      <c r="AD1187" s="560"/>
      <c r="AE1187" s="560"/>
    </row>
    <row r="1188" spans="1:31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54"/>
        <v>11</v>
      </c>
      <c r="C1188" s="37">
        <f t="shared" si="155"/>
        <v>41951</v>
      </c>
      <c r="D1188" s="191" t="s">
        <v>1217</v>
      </c>
      <c r="E1188" s="37">
        <v>41951</v>
      </c>
      <c r="F1188" s="296" t="s">
        <v>1080</v>
      </c>
      <c r="G1188" s="467" t="s">
        <v>680</v>
      </c>
      <c r="H1188" s="7" t="s">
        <v>1054</v>
      </c>
      <c r="I1188" s="256">
        <v>1850</v>
      </c>
      <c r="J1188" s="256">
        <v>7800</v>
      </c>
      <c r="K1188" s="568">
        <f>ROUND(I1188*J1188,0)</f>
        <v>14430000</v>
      </c>
      <c r="L1188" s="39" t="s">
        <v>159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>x</v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15">
        <v>4</v>
      </c>
      <c r="AC1188" s="211" t="str">
        <f>IF(H1188=VLOOKUP(H1188,DSKH,1,0),"","x")</f>
        <v/>
      </c>
    </row>
    <row r="1189" spans="1:31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ref="B1189" si="158">IF(C1189&lt;&gt;"",MONTH(C1189),"")</f>
        <v>11</v>
      </c>
      <c r="C1189" s="37">
        <f t="shared" ref="C1189" si="159">E1189</f>
        <v>41951</v>
      </c>
      <c r="D1189" s="191" t="s">
        <v>1217</v>
      </c>
      <c r="E1189" s="37">
        <v>41951</v>
      </c>
      <c r="F1189" s="40" t="s">
        <v>1053</v>
      </c>
      <c r="G1189" s="467" t="s">
        <v>680</v>
      </c>
      <c r="H1189" s="7" t="s">
        <v>1054</v>
      </c>
      <c r="I1189" s="256"/>
      <c r="J1189" s="256"/>
      <c r="K1189" s="568">
        <v>1443000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15">
        <v>4</v>
      </c>
      <c r="AC1189" s="211" t="str">
        <f>IF(H1189=VLOOKUP(H1189,DSKH,1,0),"","x")</f>
        <v/>
      </c>
    </row>
    <row r="1190" spans="1:31" s="211" customFormat="1" ht="15.75" customHeight="1">
      <c r="A1190" s="204" t="str">
        <f>IF(B1190&lt;&gt;"",IF(AND(B1190&gt;=_TM1,B1190&lt;=_TM2,OR(TH!L1190="1111",TH!M1190="1111")),TH!D1190,""),"")</f>
        <v>NL/N05</v>
      </c>
      <c r="B1190" s="36">
        <f t="shared" si="154"/>
        <v>11</v>
      </c>
      <c r="C1190" s="37">
        <f t="shared" si="155"/>
        <v>41951</v>
      </c>
      <c r="D1190" s="191" t="s">
        <v>1217</v>
      </c>
      <c r="E1190" s="37">
        <v>41951</v>
      </c>
      <c r="F1190" s="189" t="s">
        <v>895</v>
      </c>
      <c r="G1190" s="467" t="s">
        <v>680</v>
      </c>
      <c r="H1190" s="7" t="s">
        <v>1054</v>
      </c>
      <c r="I1190" s="256"/>
      <c r="J1190" s="256"/>
      <c r="K1190" s="568">
        <v>15873000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15"/>
    </row>
    <row r="1191" spans="1:31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54"/>
        <v>11</v>
      </c>
      <c r="C1191" s="191">
        <f t="shared" si="155"/>
        <v>41952</v>
      </c>
      <c r="D1191" s="191" t="s">
        <v>1240</v>
      </c>
      <c r="E1191" s="37">
        <v>41952</v>
      </c>
      <c r="F1191" s="189" t="s">
        <v>1056</v>
      </c>
      <c r="G1191" s="467" t="s">
        <v>600</v>
      </c>
      <c r="H1191" s="7" t="s">
        <v>1055</v>
      </c>
      <c r="I1191" s="754">
        <v>1500</v>
      </c>
      <c r="J1191" s="754">
        <v>9800</v>
      </c>
      <c r="K1191" s="568">
        <f>ROUND(I1191*J1191,0)</f>
        <v>14700000</v>
      </c>
      <c r="L1191" s="39" t="s">
        <v>161</v>
      </c>
      <c r="M1191" s="39" t="s">
        <v>8</v>
      </c>
      <c r="N1191" s="52" t="str">
        <f>IF(AND('331-CT'!$E$7=TH!H1191,OR(L1191="331",M1191="331")),"331",IF(AND(OR(L1191="131",M1191="131"),H1191='131-CT'!$E$7),"131",""))</f>
        <v/>
      </c>
      <c r="O1191" s="89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15">
        <v>4</v>
      </c>
      <c r="AC1191" s="211" t="str">
        <f>IF(H1191=VLOOKUP(H1191,DSKH,1,0),"","x")</f>
        <v/>
      </c>
    </row>
    <row r="1192" spans="1:31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54"/>
        <v>11</v>
      </c>
      <c r="C1192" s="191">
        <f t="shared" si="155"/>
        <v>41952</v>
      </c>
      <c r="D1192" s="191" t="s">
        <v>1240</v>
      </c>
      <c r="E1192" s="37">
        <v>41952</v>
      </c>
      <c r="F1192" s="189" t="s">
        <v>1057</v>
      </c>
      <c r="G1192" s="467" t="s">
        <v>600</v>
      </c>
      <c r="H1192" s="7" t="s">
        <v>1055</v>
      </c>
      <c r="I1192" s="754"/>
      <c r="J1192" s="754"/>
      <c r="K1192" s="568">
        <v>1470000</v>
      </c>
      <c r="L1192" s="39" t="s">
        <v>9</v>
      </c>
      <c r="M1192" s="39" t="s">
        <v>8</v>
      </c>
      <c r="N1192" s="52" t="str">
        <f>IF(AND('331-CT'!$E$7=TH!H1192,OR(L1192="331",M1192="331")),"331",IF(AND(OR(L1192="131",M1192="131"),H1192='131-CT'!$E$7),"131",""))</f>
        <v/>
      </c>
      <c r="O1192" s="896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15">
        <v>4</v>
      </c>
      <c r="AC1192" s="211" t="str">
        <f>IF(H1192=VLOOKUP(H1192,DSKH,1,0),"","x")</f>
        <v/>
      </c>
    </row>
    <row r="1193" spans="1:31" s="211" customFormat="1" ht="15.75" customHeight="1">
      <c r="A1193" s="204">
        <f>IF(B1193&lt;&gt;"",IF(AND(B1193&gt;=_TM1,B1193&lt;=_TM2,OR(TH!L1193="1111",TH!M1193="1111")),TH!D1193,""),"")</f>
        <v>0</v>
      </c>
      <c r="B1193" s="36">
        <f t="shared" si="154"/>
        <v>11</v>
      </c>
      <c r="C1193" s="191">
        <f t="shared" si="155"/>
        <v>41952</v>
      </c>
      <c r="D1193" s="191"/>
      <c r="E1193" s="37">
        <v>41952</v>
      </c>
      <c r="F1193" s="189" t="s">
        <v>895</v>
      </c>
      <c r="G1193" s="467" t="s">
        <v>600</v>
      </c>
      <c r="H1193" s="7" t="s">
        <v>1055</v>
      </c>
      <c r="I1193" s="754"/>
      <c r="J1193" s="754"/>
      <c r="K1193" s="568">
        <v>16170000</v>
      </c>
      <c r="L1193" s="39" t="s">
        <v>8</v>
      </c>
      <c r="M1193" s="39" t="s">
        <v>47</v>
      </c>
      <c r="N1193" s="52" t="str">
        <f>IF(AND('331-CT'!$E$7=TH!H1193,OR(L1193="331",M1193="331")),"331",IF(AND(OR(L1193="131",M1193="131"),H1193='131-CT'!$E$7),"131",""))</f>
        <v/>
      </c>
      <c r="O1193" s="89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15"/>
    </row>
    <row r="1194" spans="1:31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54"/>
        <v>11</v>
      </c>
      <c r="C1194" s="191">
        <f t="shared" si="155"/>
        <v>41953</v>
      </c>
      <c r="D1194" s="191" t="s">
        <v>1371</v>
      </c>
      <c r="E1194" s="37">
        <v>41953</v>
      </c>
      <c r="F1194" s="189" t="s">
        <v>1056</v>
      </c>
      <c r="G1194" s="467" t="s">
        <v>602</v>
      </c>
      <c r="H1194" s="7" t="s">
        <v>1055</v>
      </c>
      <c r="I1194" s="754">
        <v>1500</v>
      </c>
      <c r="J1194" s="754">
        <v>9800</v>
      </c>
      <c r="K1194" s="568">
        <f>ROUND(I1194*J1194,0)</f>
        <v>14700000</v>
      </c>
      <c r="L1194" s="39" t="s">
        <v>161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15">
        <v>4</v>
      </c>
      <c r="AC1194" s="211" t="str">
        <f>IF(H1194=VLOOKUP(H1194,DSKH,1,0),"","x")</f>
        <v/>
      </c>
    </row>
    <row r="1195" spans="1:31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54"/>
        <v>11</v>
      </c>
      <c r="C1195" s="191">
        <f t="shared" si="155"/>
        <v>41953</v>
      </c>
      <c r="D1195" s="191" t="s">
        <v>1371</v>
      </c>
      <c r="E1195" s="37">
        <v>41953</v>
      </c>
      <c r="F1195" s="189" t="s">
        <v>1057</v>
      </c>
      <c r="G1195" s="467" t="s">
        <v>602</v>
      </c>
      <c r="H1195" s="7" t="s">
        <v>1055</v>
      </c>
      <c r="I1195" s="754"/>
      <c r="J1195" s="754"/>
      <c r="K1195" s="568">
        <v>1470000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15">
        <v>4</v>
      </c>
      <c r="AC1195" s="211" t="str">
        <f>IF(H1195=VLOOKUP(H1195,DSKH,1,0),"","x")</f>
        <v/>
      </c>
    </row>
    <row r="1196" spans="1:31" s="211" customFormat="1" ht="15.75" customHeight="1">
      <c r="A1196" s="204">
        <f>IF(B1196&lt;&gt;"",IF(AND(B1196&gt;=_TM1,B1196&lt;=_TM2,OR(TH!L1196="1111",TH!M1196="1111")),TH!D1196,""),"")</f>
        <v>0</v>
      </c>
      <c r="B1196" s="36">
        <f t="shared" si="154"/>
        <v>11</v>
      </c>
      <c r="C1196" s="191">
        <f t="shared" si="155"/>
        <v>41953</v>
      </c>
      <c r="D1196" s="191"/>
      <c r="E1196" s="37">
        <v>41953</v>
      </c>
      <c r="F1196" s="189" t="s">
        <v>895</v>
      </c>
      <c r="G1196" s="467" t="s">
        <v>602</v>
      </c>
      <c r="H1196" s="7" t="s">
        <v>1055</v>
      </c>
      <c r="I1196" s="754"/>
      <c r="J1196" s="754"/>
      <c r="K1196" s="568">
        <v>16170000</v>
      </c>
      <c r="L1196" s="39" t="s">
        <v>8</v>
      </c>
      <c r="M1196" s="39" t="s">
        <v>47</v>
      </c>
      <c r="N1196" s="52" t="str">
        <f>IF(AND('331-CT'!$E$7=TH!H1196,OR(L1196="331",M1196="331")),"331",IF(AND(OR(L1196="131",M1196="131"),H1196='131-CT'!$E$7),"131",""))</f>
        <v/>
      </c>
      <c r="O1196" s="89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15"/>
    </row>
    <row r="1197" spans="1:31" s="211" customFormat="1" ht="15.75" customHeight="1">
      <c r="A1197" s="204">
        <f>IF(B1197&lt;&gt;"",IF(AND(B1197&gt;=_TM1,B1197&lt;=_TM2,OR(TH!L1197="1111",TH!M1197="1111")),TH!D1197,""),"")</f>
        <v>0</v>
      </c>
      <c r="B1197" s="36">
        <f t="shared" si="154"/>
        <v>11</v>
      </c>
      <c r="C1197" s="191">
        <f t="shared" si="155"/>
        <v>41954</v>
      </c>
      <c r="D1197" s="191"/>
      <c r="E1197" s="37">
        <v>41954</v>
      </c>
      <c r="F1197" s="189" t="s">
        <v>993</v>
      </c>
      <c r="G1197" s="468" t="s">
        <v>1058</v>
      </c>
      <c r="H1197" s="7" t="s">
        <v>992</v>
      </c>
      <c r="I1197" s="256"/>
      <c r="J1197" s="256"/>
      <c r="K1197" s="568">
        <f>136364</f>
        <v>136364</v>
      </c>
      <c r="L1197" s="39" t="s">
        <v>83</v>
      </c>
      <c r="M1197" s="39" t="s">
        <v>47</v>
      </c>
      <c r="N1197" s="52" t="str">
        <f>IF(AND('331-CT'!$E$7=TH!H1197,OR(L1197="331",M1197="331")),"331",IF(AND(OR(L1197="131",M1197="131"),H1197='131-CT'!$E$7),"131",""))</f>
        <v/>
      </c>
      <c r="O1197" s="89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>x</v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15">
        <v>4</v>
      </c>
    </row>
    <row r="1198" spans="1:31" s="211" customFormat="1" ht="15.75" customHeight="1">
      <c r="A1198" s="204">
        <f>IF(B1198&lt;&gt;"",IF(AND(B1198&gt;=_TM1,B1198&lt;=_TM2,OR(TH!L1198="1111",TH!M1198="1111")),TH!D1198,""),"")</f>
        <v>0</v>
      </c>
      <c r="B1198" s="36">
        <f t="shared" si="154"/>
        <v>11</v>
      </c>
      <c r="C1198" s="191">
        <f t="shared" si="155"/>
        <v>41954</v>
      </c>
      <c r="D1198" s="191"/>
      <c r="E1198" s="37">
        <v>41954</v>
      </c>
      <c r="F1198" s="189" t="s">
        <v>994</v>
      </c>
      <c r="G1198" s="468" t="s">
        <v>1058</v>
      </c>
      <c r="H1198" s="7" t="s">
        <v>992</v>
      </c>
      <c r="I1198" s="256"/>
      <c r="J1198" s="256"/>
      <c r="K1198" s="568">
        <f>13636</f>
        <v>13636</v>
      </c>
      <c r="L1198" s="39" t="s">
        <v>9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6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15">
        <v>4</v>
      </c>
    </row>
    <row r="1199" spans="1:31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54"/>
        <v>11</v>
      </c>
      <c r="C1199" s="37">
        <f t="shared" si="155"/>
        <v>41957</v>
      </c>
      <c r="D1199" s="191" t="s">
        <v>1372</v>
      </c>
      <c r="E1199" s="37">
        <v>41957</v>
      </c>
      <c r="F1199" s="189" t="s">
        <v>350</v>
      </c>
      <c r="G1199" s="467" t="s">
        <v>1133</v>
      </c>
      <c r="H1199" s="7" t="s">
        <v>1134</v>
      </c>
      <c r="I1199" s="256">
        <v>100</v>
      </c>
      <c r="J1199" s="256">
        <v>21000</v>
      </c>
      <c r="K1199" s="568">
        <f>ROUND(I1199*J1199,0)</f>
        <v>2100000</v>
      </c>
      <c r="L1199" s="39" t="s">
        <v>161</v>
      </c>
      <c r="M1199" s="39" t="s">
        <v>8</v>
      </c>
      <c r="N1199" s="52" t="str">
        <f>IF(AND('331-CT'!$E$7=TH!H1199,OR(L1199="331",M1199="331")),"331",IF(AND(OR(L1199="131",M1199="131"),H1199='131-CT'!$E$7),"131",""))</f>
        <v/>
      </c>
      <c r="O1199" s="89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>x</v>
      </c>
      <c r="AA1199" s="52" t="str">
        <f>IF(AND(B1199&lt;=NKC!$N$8,B1199&gt;=NKC!$M$8),"x","")</f>
        <v/>
      </c>
      <c r="AB1199" s="815">
        <v>4</v>
      </c>
      <c r="AC1199" s="211" t="str">
        <f>IF(H1199=VLOOKUP(H1199,DSKH,1,0),"","x")</f>
        <v/>
      </c>
    </row>
    <row r="1200" spans="1:31" s="211" customFormat="1" ht="15.75" customHeight="1">
      <c r="A1200" s="204" t="str">
        <f>IF(B1200&lt;&gt;"",IF(AND(B1200&gt;=_TM1,B1200&lt;=_TM2,OR(TH!L1200="1111",TH!M1200="1111")),TH!D1200,""),"")</f>
        <v>VL/N05</v>
      </c>
      <c r="B1200" s="36">
        <f t="shared" si="154"/>
        <v>11</v>
      </c>
      <c r="C1200" s="37">
        <f t="shared" si="155"/>
        <v>41957</v>
      </c>
      <c r="D1200" s="191" t="s">
        <v>1239</v>
      </c>
      <c r="E1200" s="37">
        <v>41957</v>
      </c>
      <c r="F1200" s="189" t="s">
        <v>895</v>
      </c>
      <c r="G1200" s="467" t="s">
        <v>1133</v>
      </c>
      <c r="H1200" s="7" t="s">
        <v>1134</v>
      </c>
      <c r="I1200" s="256"/>
      <c r="J1200" s="256"/>
      <c r="K1200" s="568">
        <v>2100000</v>
      </c>
      <c r="L1200" s="39" t="s">
        <v>8</v>
      </c>
      <c r="M1200" s="39" t="s">
        <v>47</v>
      </c>
      <c r="N1200" s="52" t="str">
        <f>IF(AND('331-CT'!$E$7=TH!H1200,OR(L1200="331",M1200="331")),"331",IF(AND(OR(L1200="131",M1200="131"),H1200='131-CT'!$E$7),"131",""))</f>
        <v/>
      </c>
      <c r="O1200" s="89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15"/>
    </row>
    <row r="1201" spans="1:31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54"/>
        <v>11</v>
      </c>
      <c r="C1201" s="37">
        <f t="shared" si="155"/>
        <v>41963</v>
      </c>
      <c r="D1201" s="191" t="s">
        <v>1218</v>
      </c>
      <c r="E1201" s="37">
        <v>41963</v>
      </c>
      <c r="F1201" s="296" t="s">
        <v>1080</v>
      </c>
      <c r="G1201" s="467" t="s">
        <v>705</v>
      </c>
      <c r="H1201" s="7" t="s">
        <v>1054</v>
      </c>
      <c r="I1201" s="256">
        <v>17859</v>
      </c>
      <c r="J1201" s="256">
        <v>7800</v>
      </c>
      <c r="K1201" s="568">
        <f>ROUND(I1201*J1201,0)</f>
        <v>139300200</v>
      </c>
      <c r="L1201" s="39" t="s">
        <v>159</v>
      </c>
      <c r="M1201" s="39" t="s">
        <v>8</v>
      </c>
      <c r="N1201" s="52" t="str">
        <f>IF(AND('331-CT'!$E$7=TH!H1201,OR(L1201="331",M1201="331")),"331",IF(AND(OR(L1201="131",M1201="131"),H1201='131-CT'!$E$7),"131",""))</f>
        <v/>
      </c>
      <c r="O1201" s="89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>x</v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15">
        <v>4</v>
      </c>
      <c r="AC1201" s="211" t="str">
        <f t="shared" ref="AC1201:AC1207" si="160">IF(H1201=VLOOKUP(H1201,DSKH,1,0),"","x")</f>
        <v/>
      </c>
    </row>
    <row r="1202" spans="1:31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54"/>
        <v>11</v>
      </c>
      <c r="C1202" s="37">
        <f t="shared" si="155"/>
        <v>41963</v>
      </c>
      <c r="D1202" s="191" t="s">
        <v>1218</v>
      </c>
      <c r="E1202" s="37">
        <v>41963</v>
      </c>
      <c r="F1202" s="40" t="s">
        <v>1053</v>
      </c>
      <c r="G1202" s="467" t="s">
        <v>705</v>
      </c>
      <c r="H1202" s="7" t="s">
        <v>1054</v>
      </c>
      <c r="I1202" s="256"/>
      <c r="J1202" s="256"/>
      <c r="K1202" s="568">
        <v>13930020</v>
      </c>
      <c r="L1202" s="39" t="s">
        <v>9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15">
        <v>4</v>
      </c>
      <c r="AC1202" s="211" t="str">
        <f t="shared" si="160"/>
        <v/>
      </c>
    </row>
    <row r="1203" spans="1:31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54"/>
        <v>12</v>
      </c>
      <c r="C1203" s="37">
        <f t="shared" si="155"/>
        <v>41977</v>
      </c>
      <c r="D1203" s="191" t="s">
        <v>1219</v>
      </c>
      <c r="E1203" s="37">
        <v>41977</v>
      </c>
      <c r="F1203" s="296" t="s">
        <v>1080</v>
      </c>
      <c r="G1203" s="467" t="s">
        <v>1123</v>
      </c>
      <c r="H1203" s="7" t="s">
        <v>1121</v>
      </c>
      <c r="I1203" s="256">
        <v>2322</v>
      </c>
      <c r="J1203" s="256">
        <v>7300</v>
      </c>
      <c r="K1203" s="568">
        <f>ROUND(I1203*J1203,0)</f>
        <v>16950600</v>
      </c>
      <c r="L1203" s="39" t="s">
        <v>159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>x</v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15">
        <v>4</v>
      </c>
      <c r="AC1203" s="211" t="str">
        <f t="shared" si="160"/>
        <v/>
      </c>
    </row>
    <row r="1204" spans="1:31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161">IF(C1204&lt;&gt;"",MONTH(C1204),"")</f>
        <v>12</v>
      </c>
      <c r="C1204" s="37">
        <f t="shared" ref="C1204" si="162">E1204</f>
        <v>41977</v>
      </c>
      <c r="D1204" s="191" t="s">
        <v>1219</v>
      </c>
      <c r="E1204" s="37">
        <v>41977</v>
      </c>
      <c r="F1204" s="40" t="s">
        <v>1053</v>
      </c>
      <c r="G1204" s="467" t="s">
        <v>1123</v>
      </c>
      <c r="H1204" s="7" t="s">
        <v>1121</v>
      </c>
      <c r="I1204" s="256"/>
      <c r="J1204" s="256"/>
      <c r="K1204" s="568">
        <v>1695060</v>
      </c>
      <c r="L1204" s="39" t="s">
        <v>9</v>
      </c>
      <c r="M1204" s="39" t="s">
        <v>8</v>
      </c>
      <c r="N1204" s="52" t="str">
        <f>IF(AND('331-CT'!$E$7=TH!H1204,OR(L1204="331",M1204="331")),"331",IF(AND(OR(L1204="131",M1204="131"),H1204='131-CT'!$E$7),"131",""))</f>
        <v/>
      </c>
      <c r="O1204" s="89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15">
        <v>4</v>
      </c>
      <c r="AC1204" s="211" t="str">
        <f t="shared" ref="AC1204" si="163">IF(H1204=VLOOKUP(H1204,DSKH,1,0),"","x")</f>
        <v/>
      </c>
    </row>
    <row r="1205" spans="1:31" s="211" customFormat="1" ht="15.75" customHeight="1">
      <c r="A1205" s="204" t="str">
        <f>IF(B1205&lt;&gt;"",IF(AND(B1205&gt;=_TM1,B1205&lt;=_TM2,OR(TH!L1205="1111",TH!M1205="1111")),TH!D1205,""),"")</f>
        <v>NL/N07</v>
      </c>
      <c r="B1205" s="36">
        <f t="shared" si="154"/>
        <v>12</v>
      </c>
      <c r="C1205" s="37">
        <f t="shared" si="155"/>
        <v>41977</v>
      </c>
      <c r="D1205" s="191" t="s">
        <v>1219</v>
      </c>
      <c r="E1205" s="37">
        <v>41977</v>
      </c>
      <c r="F1205" s="189" t="s">
        <v>895</v>
      </c>
      <c r="G1205" s="467" t="s">
        <v>1123</v>
      </c>
      <c r="H1205" s="7" t="s">
        <v>1121</v>
      </c>
      <c r="I1205" s="256"/>
      <c r="J1205" s="256"/>
      <c r="K1205" s="568">
        <v>18645660</v>
      </c>
      <c r="L1205" s="39" t="s">
        <v>8</v>
      </c>
      <c r="M1205" s="39" t="s">
        <v>47</v>
      </c>
      <c r="N1205" s="52" t="str">
        <f>IF(AND('331-CT'!$E$7=TH!H1205,OR(L1205="331",M1205="331")),"331",IF(AND(OR(L1205="131",M1205="131"),H1205='131-CT'!$E$7),"131",""))</f>
        <v/>
      </c>
      <c r="O1205" s="89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15"/>
      <c r="AC1205" s="211" t="str">
        <f t="shared" si="160"/>
        <v/>
      </c>
    </row>
    <row r="1206" spans="1:31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54"/>
        <v>12</v>
      </c>
      <c r="C1206" s="37">
        <f t="shared" si="155"/>
        <v>41982</v>
      </c>
      <c r="D1206" s="191" t="s">
        <v>1220</v>
      </c>
      <c r="E1206" s="184">
        <v>41982</v>
      </c>
      <c r="F1206" s="296" t="s">
        <v>1080</v>
      </c>
      <c r="G1206" s="628" t="s">
        <v>1124</v>
      </c>
      <c r="H1206" s="7" t="s">
        <v>1121</v>
      </c>
      <c r="I1206" s="256">
        <v>2399</v>
      </c>
      <c r="J1206" s="256">
        <v>7300</v>
      </c>
      <c r="K1206" s="568">
        <f>ROUND(I1206*J1206,0)</f>
        <v>17512700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/>
      </c>
      <c r="O1206" s="89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>x</v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15">
        <v>4</v>
      </c>
      <c r="AC1206" s="211" t="str">
        <f t="shared" si="160"/>
        <v/>
      </c>
    </row>
    <row r="1207" spans="1:31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54"/>
        <v>12</v>
      </c>
      <c r="C1207" s="37">
        <f t="shared" si="155"/>
        <v>41982</v>
      </c>
      <c r="D1207" s="191" t="s">
        <v>1220</v>
      </c>
      <c r="E1207" s="184">
        <v>41982</v>
      </c>
      <c r="F1207" s="40" t="s">
        <v>1053</v>
      </c>
      <c r="G1207" s="628" t="s">
        <v>1124</v>
      </c>
      <c r="H1207" s="7" t="s">
        <v>1121</v>
      </c>
      <c r="I1207" s="256"/>
      <c r="J1207" s="256"/>
      <c r="K1207" s="568">
        <v>1751270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/>
      </c>
      <c r="O1207" s="89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15">
        <v>4</v>
      </c>
      <c r="AC1207" s="211" t="str">
        <f t="shared" si="160"/>
        <v/>
      </c>
    </row>
    <row r="1208" spans="1:31" s="211" customFormat="1" ht="15.75" customHeight="1">
      <c r="A1208" s="204" t="str">
        <f>IF(B1208&lt;&gt;"",IF(AND(B1208&gt;=_TM1,B1208&lt;=_TM2,OR(TH!L1208="1111",TH!M1208="1111")),TH!D1208,""),"")</f>
        <v>NL/N08</v>
      </c>
      <c r="B1208" s="36">
        <f t="shared" ref="B1208" si="164">IF(C1208&lt;&gt;"",MONTH(C1208),"")</f>
        <v>12</v>
      </c>
      <c r="C1208" s="37">
        <f t="shared" ref="C1208" si="165">E1208</f>
        <v>41982</v>
      </c>
      <c r="D1208" s="191" t="s">
        <v>1220</v>
      </c>
      <c r="E1208" s="184">
        <v>41982</v>
      </c>
      <c r="F1208" s="189" t="s">
        <v>895</v>
      </c>
      <c r="G1208" s="628" t="s">
        <v>1124</v>
      </c>
      <c r="H1208" s="7" t="s">
        <v>1121</v>
      </c>
      <c r="I1208" s="256"/>
      <c r="J1208" s="256"/>
      <c r="K1208" s="568">
        <v>19263970</v>
      </c>
      <c r="L1208" s="39" t="s">
        <v>8</v>
      </c>
      <c r="M1208" s="39" t="s">
        <v>47</v>
      </c>
      <c r="N1208" s="52" t="str">
        <f>IF(AND('331-CT'!$E$7=TH!H1208,OR(L1208="331",M1208="331")),"331",IF(AND(OR(L1208="131",M1208="131"),H1208='131-CT'!$E$7),"131",""))</f>
        <v/>
      </c>
      <c r="O1208" s="89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15"/>
      <c r="AC1208" s="211" t="str">
        <f t="shared" ref="AC1208" si="166">IF(H1208=VLOOKUP(H1208,DSKH,1,0),"","x")</f>
        <v/>
      </c>
    </row>
    <row r="1209" spans="1:31" s="211" customFormat="1" ht="15.75" customHeight="1">
      <c r="A1209" s="204">
        <f>IF(B1209&lt;&gt;"",IF(AND(B1209&gt;=_TM1,B1209&lt;=_TM2,OR(TH!L1209="1111",TH!M1209="1111")),TH!D1209,""),"")</f>
        <v>0</v>
      </c>
      <c r="B1209" s="36">
        <f t="shared" si="154"/>
        <v>12</v>
      </c>
      <c r="C1209" s="191">
        <f t="shared" si="155"/>
        <v>41983</v>
      </c>
      <c r="D1209" s="184"/>
      <c r="E1209" s="191">
        <v>41983</v>
      </c>
      <c r="F1209" s="189" t="s">
        <v>993</v>
      </c>
      <c r="G1209" s="468" t="s">
        <v>1062</v>
      </c>
      <c r="H1209" s="7" t="s">
        <v>992</v>
      </c>
      <c r="I1209" s="256"/>
      <c r="J1209" s="256"/>
      <c r="K1209" s="568">
        <f>212092+275198+446313</f>
        <v>933603</v>
      </c>
      <c r="L1209" s="39" t="s">
        <v>83</v>
      </c>
      <c r="M1209" s="39" t="s">
        <v>47</v>
      </c>
      <c r="N1209" s="52" t="str">
        <f>IF(AND('331-CT'!$E$7=TH!H1209,OR(L1209="331",M1209="331")),"331",IF(AND(OR(L1209="131",M1209="131"),H1209='131-CT'!$E$7),"131",""))</f>
        <v/>
      </c>
      <c r="O1209" s="89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>x</v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15">
        <v>4</v>
      </c>
      <c r="AC1209" s="560"/>
      <c r="AD1209" s="560"/>
      <c r="AE1209" s="560"/>
    </row>
    <row r="1210" spans="1:31" s="211" customFormat="1" ht="15.75" customHeight="1">
      <c r="A1210" s="204">
        <f>IF(B1210&lt;&gt;"",IF(AND(B1210&gt;=_TM1,B1210&lt;=_TM2,OR(TH!L1210="1111",TH!M1210="1111")),TH!D1210,""),"")</f>
        <v>0</v>
      </c>
      <c r="B1210" s="36">
        <f t="shared" si="154"/>
        <v>12</v>
      </c>
      <c r="C1210" s="191">
        <f t="shared" si="155"/>
        <v>41983</v>
      </c>
      <c r="D1210" s="184"/>
      <c r="E1210" s="191">
        <v>41983</v>
      </c>
      <c r="F1210" s="189" t="s">
        <v>994</v>
      </c>
      <c r="G1210" s="468" t="s">
        <v>1061</v>
      </c>
      <c r="H1210" s="7" t="s">
        <v>992</v>
      </c>
      <c r="I1210" s="256"/>
      <c r="J1210" s="256"/>
      <c r="K1210" s="568">
        <f>21209+27520+44633</f>
        <v>93362</v>
      </c>
      <c r="L1210" s="843" t="s">
        <v>9</v>
      </c>
      <c r="M1210" s="39" t="s">
        <v>47</v>
      </c>
      <c r="N1210" s="52" t="str">
        <f>IF(AND('331-CT'!$E$7=TH!H1210,OR(L1210="331",M1210="331")),"331",IF(AND(OR(L1210="131",M1210="131"),H1210='131-CT'!$E$7),"131",""))</f>
        <v/>
      </c>
      <c r="O1210" s="89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15">
        <v>4</v>
      </c>
      <c r="AE1210" s="560"/>
    </row>
    <row r="1211" spans="1:31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54"/>
        <v>12</v>
      </c>
      <c r="C1211" s="37">
        <f t="shared" si="155"/>
        <v>41986</v>
      </c>
      <c r="D1211" s="191" t="s">
        <v>1221</v>
      </c>
      <c r="E1211" s="191">
        <v>41986</v>
      </c>
      <c r="F1211" s="296" t="s">
        <v>1080</v>
      </c>
      <c r="G1211" s="468" t="s">
        <v>1108</v>
      </c>
      <c r="H1211" s="7" t="s">
        <v>1121</v>
      </c>
      <c r="I1211" s="256">
        <v>2159</v>
      </c>
      <c r="J1211" s="256">
        <v>7300</v>
      </c>
      <c r="K1211" s="568">
        <f>ROUND(I1211*J1211,0)</f>
        <v>15760700</v>
      </c>
      <c r="L1211" s="39" t="s">
        <v>159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>x</v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15">
        <v>4</v>
      </c>
      <c r="AC1211" s="211" t="str">
        <f>IF(H1211=VLOOKUP(H1211,DSKH,1,0),"","x")</f>
        <v/>
      </c>
    </row>
    <row r="1212" spans="1:31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54"/>
        <v>12</v>
      </c>
      <c r="C1212" s="37">
        <f t="shared" si="155"/>
        <v>41986</v>
      </c>
      <c r="D1212" s="191" t="s">
        <v>1221</v>
      </c>
      <c r="E1212" s="191">
        <v>41986</v>
      </c>
      <c r="F1212" s="40" t="s">
        <v>1053</v>
      </c>
      <c r="G1212" s="468" t="s">
        <v>1108</v>
      </c>
      <c r="H1212" s="7" t="s">
        <v>1121</v>
      </c>
      <c r="I1212" s="256"/>
      <c r="J1212" s="256"/>
      <c r="K1212" s="568">
        <v>1576070</v>
      </c>
      <c r="L1212" s="39" t="s">
        <v>9</v>
      </c>
      <c r="M1212" s="39" t="s">
        <v>8</v>
      </c>
      <c r="N1212" s="52" t="str">
        <f>IF(AND('331-CT'!$E$7=TH!H1212,OR(L1212="331",M1212="331")),"331",IF(AND(OR(L1212="131",M1212="131"),H1212='131-CT'!$E$7),"131",""))</f>
        <v/>
      </c>
      <c r="O1212" s="89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15">
        <v>4</v>
      </c>
      <c r="AC1212" s="211" t="str">
        <f>IF(H1212=VLOOKUP(H1212,DSKH,1,0),"","x")</f>
        <v/>
      </c>
    </row>
    <row r="1213" spans="1:31" s="211" customFormat="1" ht="15.75" customHeight="1">
      <c r="A1213" s="204" t="str">
        <f>IF(B1213&lt;&gt;"",IF(AND(B1213&gt;=_TM1,B1213&lt;=_TM2,OR(TH!L1213="1111",TH!M1213="1111")),TH!D1213,""),"")</f>
        <v>NL/N09</v>
      </c>
      <c r="B1213" s="36">
        <f t="shared" ref="B1213" si="167">IF(C1213&lt;&gt;"",MONTH(C1213),"")</f>
        <v>12</v>
      </c>
      <c r="C1213" s="37">
        <f t="shared" ref="C1213" si="168">E1213</f>
        <v>41986</v>
      </c>
      <c r="D1213" s="191" t="s">
        <v>1221</v>
      </c>
      <c r="E1213" s="191">
        <v>41986</v>
      </c>
      <c r="F1213" s="189" t="s">
        <v>895</v>
      </c>
      <c r="G1213" s="468" t="s">
        <v>1108</v>
      </c>
      <c r="H1213" s="7" t="s">
        <v>1121</v>
      </c>
      <c r="I1213" s="256"/>
      <c r="J1213" s="256"/>
      <c r="K1213" s="568">
        <v>17336770</v>
      </c>
      <c r="L1213" s="39" t="s">
        <v>8</v>
      </c>
      <c r="M1213" s="39" t="s">
        <v>47</v>
      </c>
      <c r="N1213" s="52" t="str">
        <f>IF(AND('331-CT'!$E$7=TH!H1213,OR(L1213="331",M1213="331")),"331",IF(AND(OR(L1213="131",M1213="131"),H1213='131-CT'!$E$7),"131",""))</f>
        <v/>
      </c>
      <c r="O1213" s="89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15"/>
      <c r="AC1213" s="211" t="str">
        <f>IF(H1213=VLOOKUP(H1213,DSKH,1,0),"","x")</f>
        <v/>
      </c>
    </row>
    <row r="1214" spans="1:31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54"/>
        <v>12</v>
      </c>
      <c r="C1214" s="37">
        <f t="shared" si="155"/>
        <v>41988</v>
      </c>
      <c r="D1214" s="191" t="s">
        <v>1222</v>
      </c>
      <c r="E1214" s="191">
        <v>41988</v>
      </c>
      <c r="F1214" s="296" t="s">
        <v>1080</v>
      </c>
      <c r="G1214" s="468" t="s">
        <v>751</v>
      </c>
      <c r="H1214" s="7" t="s">
        <v>1054</v>
      </c>
      <c r="I1214" s="256">
        <v>16434</v>
      </c>
      <c r="J1214" s="256">
        <v>7800</v>
      </c>
      <c r="K1214" s="568">
        <f>ROUND(I1214*J1214,0)</f>
        <v>128185200</v>
      </c>
      <c r="L1214" s="39" t="s">
        <v>159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>x</v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15">
        <v>4</v>
      </c>
      <c r="AC1214" s="211" t="str">
        <f>IF(H1214=VLOOKUP(H1214,DSKH,1,0),"","x")</f>
        <v/>
      </c>
    </row>
    <row r="1215" spans="1:31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54"/>
        <v>12</v>
      </c>
      <c r="C1215" s="37">
        <f t="shared" si="155"/>
        <v>41988</v>
      </c>
      <c r="D1215" s="191" t="s">
        <v>1222</v>
      </c>
      <c r="E1215" s="191">
        <v>41988</v>
      </c>
      <c r="F1215" s="40" t="s">
        <v>1053</v>
      </c>
      <c r="G1215" s="468" t="s">
        <v>751</v>
      </c>
      <c r="H1215" s="7" t="s">
        <v>1054</v>
      </c>
      <c r="I1215" s="256"/>
      <c r="J1215" s="256"/>
      <c r="K1215" s="568">
        <v>12818520</v>
      </c>
      <c r="L1215" s="39" t="s">
        <v>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15">
        <v>4</v>
      </c>
      <c r="AC1215" s="211" t="str">
        <f>IF(H1215=VLOOKUP(H1215,DSKH,1,0),"","x")</f>
        <v/>
      </c>
    </row>
    <row r="1216" spans="1:31" s="211" customFormat="1" ht="15.75" customHeight="1">
      <c r="A1216" s="204">
        <f>IF(B1216&lt;&gt;"",IF(AND(B1216&gt;=_TM1,B1216&lt;=_TM2,OR(TH!L1216="1111",TH!M1216="1111")),TH!D1216,""),"")</f>
        <v>0</v>
      </c>
      <c r="B1216" s="36">
        <f t="shared" si="154"/>
        <v>12</v>
      </c>
      <c r="C1216" s="191">
        <f t="shared" si="155"/>
        <v>41989</v>
      </c>
      <c r="D1216" s="191"/>
      <c r="E1216" s="37">
        <v>41989</v>
      </c>
      <c r="F1216" s="192" t="s">
        <v>372</v>
      </c>
      <c r="G1216" s="468" t="s">
        <v>1059</v>
      </c>
      <c r="H1216" s="7" t="s">
        <v>1002</v>
      </c>
      <c r="I1216" s="256"/>
      <c r="J1216" s="256"/>
      <c r="K1216" s="568">
        <v>7900000</v>
      </c>
      <c r="L1216" s="39" t="s">
        <v>167</v>
      </c>
      <c r="M1216" s="39" t="s">
        <v>47</v>
      </c>
      <c r="N1216" s="52" t="str">
        <f>IF(AND('331-CT'!$E$7=TH!H1216,OR(L1216="331",M1216="331")),"331",IF(AND(OR(L1216="131",M1216="131"),H1216='131-CT'!$E$7),"131",""))</f>
        <v/>
      </c>
      <c r="O1216" s="89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15">
        <v>4</v>
      </c>
    </row>
    <row r="1217" spans="1:29" s="211" customFormat="1" ht="15.75" customHeight="1">
      <c r="A1217" s="204">
        <f>IF(B1217&lt;&gt;"",IF(AND(B1217&gt;=_TM1,B1217&lt;=_TM2,OR(TH!L1217="1111",TH!M1217="1111")),TH!D1217,""),"")</f>
        <v>0</v>
      </c>
      <c r="B1217" s="36">
        <f t="shared" si="154"/>
        <v>12</v>
      </c>
      <c r="C1217" s="191">
        <f t="shared" si="155"/>
        <v>41989</v>
      </c>
      <c r="D1217" s="191"/>
      <c r="E1217" s="37">
        <v>41989</v>
      </c>
      <c r="F1217" s="192" t="s">
        <v>1003</v>
      </c>
      <c r="G1217" s="468" t="s">
        <v>1059</v>
      </c>
      <c r="H1217" s="7" t="s">
        <v>1002</v>
      </c>
      <c r="I1217" s="256"/>
      <c r="J1217" s="256"/>
      <c r="K1217" s="568">
        <v>790000</v>
      </c>
      <c r="L1217" s="39" t="s">
        <v>9</v>
      </c>
      <c r="M1217" s="39" t="s">
        <v>47</v>
      </c>
      <c r="N1217" s="52" t="str">
        <f>IF(AND('331-CT'!$E$7=TH!H1217,OR(L1217="331",M1217="331")),"331",IF(AND(OR(L1217="131",M1217="131"),H1217='131-CT'!$E$7),"131",""))</f>
        <v/>
      </c>
      <c r="O1217" s="89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15">
        <v>4</v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54"/>
        <v>12</v>
      </c>
      <c r="C1218" s="37">
        <f t="shared" si="155"/>
        <v>41992</v>
      </c>
      <c r="D1218" s="191" t="s">
        <v>1223</v>
      </c>
      <c r="E1218" s="191">
        <v>41992</v>
      </c>
      <c r="F1218" s="296" t="s">
        <v>1080</v>
      </c>
      <c r="G1218" s="468" t="s">
        <v>1125</v>
      </c>
      <c r="H1218" s="7" t="s">
        <v>1121</v>
      </c>
      <c r="I1218" s="256">
        <v>1985</v>
      </c>
      <c r="J1218" s="256">
        <v>7300</v>
      </c>
      <c r="K1218" s="568">
        <f>ROUND(I1218*J1218,0)</f>
        <v>14490500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/>
      </c>
      <c r="O1218" s="89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>x</v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15">
        <v>4</v>
      </c>
      <c r="AC1218" s="211" t="str">
        <f>IF(H1218=VLOOKUP(H1218,DSKH,1,0),"","x")</f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54"/>
        <v>12</v>
      </c>
      <c r="C1219" s="37">
        <f t="shared" si="155"/>
        <v>41992</v>
      </c>
      <c r="D1219" s="191" t="s">
        <v>1223</v>
      </c>
      <c r="E1219" s="191">
        <v>41992</v>
      </c>
      <c r="F1219" s="40" t="s">
        <v>1053</v>
      </c>
      <c r="G1219" s="468" t="s">
        <v>1125</v>
      </c>
      <c r="H1219" s="7" t="s">
        <v>1121</v>
      </c>
      <c r="I1219" s="256"/>
      <c r="J1219" s="256"/>
      <c r="K1219" s="568">
        <v>1449050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/>
      </c>
      <c r="O1219" s="89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15">
        <v>4</v>
      </c>
      <c r="AC1219" s="211" t="str">
        <f>IF(H1219=VLOOKUP(H1219,DSKH,1,0),"","x")</f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>NL/N11</v>
      </c>
      <c r="B1220" s="36">
        <f t="shared" ref="B1220" si="169">IF(C1220&lt;&gt;"",MONTH(C1220),"")</f>
        <v>12</v>
      </c>
      <c r="C1220" s="37">
        <f t="shared" ref="C1220" si="170">E1220</f>
        <v>41992</v>
      </c>
      <c r="D1220" s="191" t="s">
        <v>1223</v>
      </c>
      <c r="E1220" s="191">
        <v>41992</v>
      </c>
      <c r="F1220" s="189" t="s">
        <v>895</v>
      </c>
      <c r="G1220" s="468" t="s">
        <v>1125</v>
      </c>
      <c r="H1220" s="7" t="s">
        <v>1121</v>
      </c>
      <c r="I1220" s="256"/>
      <c r="J1220" s="256"/>
      <c r="K1220" s="568">
        <v>15939550</v>
      </c>
      <c r="L1220" s="39" t="s">
        <v>8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15"/>
      <c r="AC1220" s="211" t="str">
        <f>IF(H1220=VLOOKUP(H1220,DSKH,1,0),"","x")</f>
        <v/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54"/>
        <v>12</v>
      </c>
      <c r="C1221" s="37">
        <f t="shared" si="155"/>
        <v>41993</v>
      </c>
      <c r="D1221" s="191" t="s">
        <v>1373</v>
      </c>
      <c r="E1221" s="191">
        <v>41993</v>
      </c>
      <c r="F1221" s="189" t="s">
        <v>330</v>
      </c>
      <c r="G1221" s="468" t="s">
        <v>1126</v>
      </c>
      <c r="H1221" s="7" t="s">
        <v>351</v>
      </c>
      <c r="I1221" s="256">
        <v>24</v>
      </c>
      <c r="J1221" s="256">
        <v>45000</v>
      </c>
      <c r="K1221" s="568">
        <f>ROUND(I1221*J1221,0)</f>
        <v>1080000</v>
      </c>
      <c r="L1221" s="39" t="s">
        <v>161</v>
      </c>
      <c r="M1221" s="39" t="s">
        <v>8</v>
      </c>
      <c r="N1221" s="52" t="str">
        <f>IF(AND('331-CT'!$E$7=TH!H1221,OR(L1221="331",M1221="331")),"331",IF(AND(OR(L1221="131",M1221="131"),H1221='131-CT'!$E$7),"131",""))</f>
        <v/>
      </c>
      <c r="O1221" s="89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15">
        <v>4</v>
      </c>
      <c r="AC1221" s="211" t="str">
        <f>IF(H1221=VLOOKUP(H1221,DSKH,1,0),"","x")</f>
        <v/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54"/>
        <v>12</v>
      </c>
      <c r="C1222" s="37">
        <f t="shared" si="155"/>
        <v>41993</v>
      </c>
      <c r="D1222" s="191" t="s">
        <v>1373</v>
      </c>
      <c r="E1222" s="191">
        <v>41993</v>
      </c>
      <c r="F1222" s="189" t="s">
        <v>1012</v>
      </c>
      <c r="G1222" s="468" t="s">
        <v>1126</v>
      </c>
      <c r="H1222" s="7" t="s">
        <v>351</v>
      </c>
      <c r="I1222" s="256"/>
      <c r="J1222" s="256"/>
      <c r="K1222" s="568">
        <v>108000</v>
      </c>
      <c r="L1222" s="39" t="s">
        <v>9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15">
        <v>4</v>
      </c>
      <c r="AC1222" s="211" t="str">
        <f>IF(H1222=VLOOKUP(H1222,DSKH,1,0),"","x")</f>
        <v/>
      </c>
    </row>
    <row r="1223" spans="1:29" s="211" customFormat="1" ht="15.75" customHeight="1">
      <c r="A1223" s="204">
        <f>IF(B1223&lt;&gt;"",IF(AND(B1223&gt;=_TM1,B1223&lt;=_TM2,OR(TH!L1223="1111",TH!M1223="1111")),TH!D1223,""),"")</f>
        <v>0</v>
      </c>
      <c r="B1223" s="36">
        <f t="shared" si="154"/>
        <v>12</v>
      </c>
      <c r="C1223" s="37">
        <f t="shared" si="155"/>
        <v>41993</v>
      </c>
      <c r="D1223" s="37"/>
      <c r="E1223" s="191">
        <v>41993</v>
      </c>
      <c r="F1223" s="189" t="s">
        <v>895</v>
      </c>
      <c r="G1223" s="468" t="s">
        <v>1126</v>
      </c>
      <c r="H1223" s="7" t="s">
        <v>351</v>
      </c>
      <c r="I1223" s="256"/>
      <c r="J1223" s="256"/>
      <c r="K1223" s="568">
        <v>1188000</v>
      </c>
      <c r="L1223" s="39" t="s">
        <v>8</v>
      </c>
      <c r="M1223" s="39" t="s">
        <v>47</v>
      </c>
      <c r="N1223" s="52" t="str">
        <f>IF(AND('331-CT'!$E$7=TH!H1223,OR(L1223="331",M1223="331")),"331",IF(AND(OR(L1223="131",M1223="131"),H1223='131-CT'!$E$7),"131",""))</f>
        <v/>
      </c>
      <c r="O1223" s="89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15"/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54"/>
        <v>12</v>
      </c>
      <c r="C1224" s="37">
        <f t="shared" si="155"/>
        <v>41996</v>
      </c>
      <c r="D1224" s="191" t="s">
        <v>1224</v>
      </c>
      <c r="E1224" s="730">
        <v>41996</v>
      </c>
      <c r="F1224" s="296" t="s">
        <v>1080</v>
      </c>
      <c r="G1224" s="468" t="s">
        <v>1127</v>
      </c>
      <c r="H1224" s="7" t="s">
        <v>1121</v>
      </c>
      <c r="I1224" s="256">
        <v>2356</v>
      </c>
      <c r="J1224" s="256">
        <v>7300</v>
      </c>
      <c r="K1224" s="568">
        <f>ROUND(I1224*J1224,0)</f>
        <v>17198800</v>
      </c>
      <c r="L1224" s="39" t="s">
        <v>159</v>
      </c>
      <c r="M1224" s="39" t="s">
        <v>8</v>
      </c>
      <c r="N1224" s="52" t="str">
        <f>IF(AND('331-CT'!$E$7=TH!H1224,OR(L1224="331",M1224="331")),"331",IF(AND(OR(L1224="131",M1224="131"),H1224='131-CT'!$E$7),"131",""))</f>
        <v/>
      </c>
      <c r="O1224" s="89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>x</v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15">
        <v>4</v>
      </c>
      <c r="AC1224" s="211" t="str">
        <f t="shared" ref="AC1224:AC1233" si="171">IF(H1224=VLOOKUP(H1224,DSKH,1,0),"","x")</f>
        <v/>
      </c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54"/>
        <v>12</v>
      </c>
      <c r="C1225" s="37">
        <f t="shared" si="155"/>
        <v>41996</v>
      </c>
      <c r="D1225" s="191" t="s">
        <v>1224</v>
      </c>
      <c r="E1225" s="730">
        <v>41996</v>
      </c>
      <c r="F1225" s="40" t="s">
        <v>1053</v>
      </c>
      <c r="G1225" s="468" t="s">
        <v>1127</v>
      </c>
      <c r="H1225" s="7" t="s">
        <v>1121</v>
      </c>
      <c r="I1225" s="256"/>
      <c r="J1225" s="256"/>
      <c r="K1225" s="568">
        <v>1719880</v>
      </c>
      <c r="L1225" s="39" t="s">
        <v>9</v>
      </c>
      <c r="M1225" s="39" t="s">
        <v>8</v>
      </c>
      <c r="N1225" s="52" t="str">
        <f>IF(AND('331-CT'!$E$7=TH!H1225,OR(L1225="331",M1225="331")),"331",IF(AND(OR(L1225="131",M1225="131"),H1225='131-CT'!$E$7),"131",""))</f>
        <v/>
      </c>
      <c r="O1225" s="89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15">
        <v>4</v>
      </c>
      <c r="AC1225" s="211" t="str">
        <f t="shared" si="171"/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>NL/N12</v>
      </c>
      <c r="B1226" s="36">
        <f t="shared" ref="B1226" si="172">IF(C1226&lt;&gt;"",MONTH(C1226),"")</f>
        <v>12</v>
      </c>
      <c r="C1226" s="37">
        <f t="shared" ref="C1226" si="173">E1226</f>
        <v>41996</v>
      </c>
      <c r="D1226" s="191" t="s">
        <v>1224</v>
      </c>
      <c r="E1226" s="730">
        <v>41996</v>
      </c>
      <c r="F1226" s="189" t="s">
        <v>895</v>
      </c>
      <c r="G1226" s="468" t="s">
        <v>1127</v>
      </c>
      <c r="H1226" s="7" t="s">
        <v>1121</v>
      </c>
      <c r="I1226" s="256"/>
      <c r="J1226" s="256"/>
      <c r="K1226" s="568">
        <v>18918680</v>
      </c>
      <c r="L1226" s="39" t="s">
        <v>8</v>
      </c>
      <c r="M1226" s="39" t="s">
        <v>47</v>
      </c>
      <c r="N1226" s="52" t="str">
        <f>IF(AND('331-CT'!$E$7=TH!H1226,OR(L1226="331",M1226="331")),"331",IF(AND(OR(L1226="131",M1226="131"),H1226='131-CT'!$E$7),"131",""))</f>
        <v/>
      </c>
      <c r="O1226" s="89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15"/>
      <c r="AC1226" s="211" t="str">
        <f t="shared" ref="AC1226" si="174">IF(H1226=VLOOKUP(H1226,DSKH,1,0),"","x")</f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54"/>
        <v>12</v>
      </c>
      <c r="C1227" s="37">
        <f t="shared" si="155"/>
        <v>41998</v>
      </c>
      <c r="D1227" s="191" t="s">
        <v>1225</v>
      </c>
      <c r="E1227" s="730">
        <v>41998</v>
      </c>
      <c r="F1227" s="296" t="s">
        <v>1080</v>
      </c>
      <c r="G1227" s="468" t="s">
        <v>1128</v>
      </c>
      <c r="H1227" s="7" t="s">
        <v>1121</v>
      </c>
      <c r="I1227" s="256">
        <v>2352</v>
      </c>
      <c r="J1227" s="256">
        <v>7300</v>
      </c>
      <c r="K1227" s="568">
        <f>ROUND(I1227*J1227,0)</f>
        <v>17169600</v>
      </c>
      <c r="L1227" s="39" t="s">
        <v>159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>x</v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15">
        <v>4</v>
      </c>
      <c r="AC1227" s="211" t="str">
        <f t="shared" si="171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175">IF(C1228&lt;&gt;"",MONTH(C1228),"")</f>
        <v>12</v>
      </c>
      <c r="C1228" s="37">
        <f t="shared" ref="C1228" si="176">E1228</f>
        <v>41998</v>
      </c>
      <c r="D1228" s="191" t="s">
        <v>1225</v>
      </c>
      <c r="E1228" s="730">
        <v>41998</v>
      </c>
      <c r="F1228" s="40" t="s">
        <v>1053</v>
      </c>
      <c r="G1228" s="468" t="s">
        <v>1128</v>
      </c>
      <c r="H1228" s="7" t="s">
        <v>1121</v>
      </c>
      <c r="I1228" s="256"/>
      <c r="J1228" s="256"/>
      <c r="K1228" s="568">
        <v>1716960</v>
      </c>
      <c r="L1228" s="39" t="s">
        <v>9</v>
      </c>
      <c r="M1228" s="39" t="s">
        <v>8</v>
      </c>
      <c r="N1228" s="52" t="str">
        <f>IF(AND('331-CT'!$E$7=TH!H1228,OR(L1228="331",M1228="331")),"331",IF(AND(OR(L1228="131",M1228="131"),H1228='131-CT'!$E$7),"131",""))</f>
        <v/>
      </c>
      <c r="O1228" s="89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15">
        <v>4</v>
      </c>
      <c r="AC1228" s="211" t="str">
        <f t="shared" ref="AC1228:AC1229" si="177">IF(H1228=VLOOKUP(H1228,DSKH,1,0),"","x")</f>
        <v/>
      </c>
    </row>
    <row r="1229" spans="1:29" s="211" customFormat="1" ht="15.75" customHeight="1">
      <c r="A1229" s="204" t="str">
        <f>IF(B1229&lt;&gt;"",IF(AND(B1229&gt;=_TM1,B1229&lt;=_TM2,OR(TH!L1229="1111",TH!M1229="1111")),TH!D1229,""),"")</f>
        <v>NL/N13</v>
      </c>
      <c r="B1229" s="36">
        <f t="shared" si="154"/>
        <v>12</v>
      </c>
      <c r="C1229" s="37">
        <f t="shared" si="155"/>
        <v>41998</v>
      </c>
      <c r="D1229" s="191" t="s">
        <v>1225</v>
      </c>
      <c r="E1229" s="730">
        <v>41998</v>
      </c>
      <c r="F1229" s="189" t="s">
        <v>895</v>
      </c>
      <c r="G1229" s="468" t="s">
        <v>1128</v>
      </c>
      <c r="H1229" s="7" t="s">
        <v>1121</v>
      </c>
      <c r="I1229" s="256"/>
      <c r="J1229" s="256"/>
      <c r="K1229" s="568">
        <v>18886560</v>
      </c>
      <c r="L1229" s="39" t="s">
        <v>8</v>
      </c>
      <c r="M1229" s="39" t="s">
        <v>47</v>
      </c>
      <c r="N1229" s="52" t="str">
        <f>IF(AND('331-CT'!$E$7=TH!H1229,OR(L1229="331",M1229="331")),"331",IF(AND(OR(L1229="131",M1229="131"),H1229='131-CT'!$E$7),"131",""))</f>
        <v/>
      </c>
      <c r="O1229" s="89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15"/>
      <c r="AC1229" s="211" t="str">
        <f t="shared" si="177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54"/>
        <v>12</v>
      </c>
      <c r="C1230" s="37">
        <f t="shared" si="155"/>
        <v>42002</v>
      </c>
      <c r="D1230" s="191" t="s">
        <v>1226</v>
      </c>
      <c r="E1230" s="730">
        <v>42002</v>
      </c>
      <c r="F1230" s="296" t="s">
        <v>1080</v>
      </c>
      <c r="G1230" s="467" t="s">
        <v>1129</v>
      </c>
      <c r="H1230" s="7" t="s">
        <v>1121</v>
      </c>
      <c r="I1230" s="256">
        <v>1272</v>
      </c>
      <c r="J1230" s="256">
        <v>7300</v>
      </c>
      <c r="K1230" s="568">
        <f>ROUND(I1230*J1230,0)</f>
        <v>9285600</v>
      </c>
      <c r="L1230" s="39" t="s">
        <v>159</v>
      </c>
      <c r="M1230" s="39" t="s">
        <v>8</v>
      </c>
      <c r="N1230" s="52" t="str">
        <f>IF(AND('331-CT'!$E$7=TH!H1230,OR(L1230="331",M1230="331")),"331",IF(AND(OR(L1230="131",M1230="131"),H1230='131-CT'!$E$7),"131",""))</f>
        <v/>
      </c>
      <c r="O1230" s="89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>x</v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15">
        <v>4</v>
      </c>
      <c r="AC1230" s="211" t="str">
        <f t="shared" si="171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ref="B1231" si="178">IF(C1231&lt;&gt;"",MONTH(C1231),"")</f>
        <v>12</v>
      </c>
      <c r="C1231" s="37">
        <f t="shared" ref="C1231" si="179">E1231</f>
        <v>42002</v>
      </c>
      <c r="D1231" s="191" t="s">
        <v>1226</v>
      </c>
      <c r="E1231" s="730">
        <v>42002</v>
      </c>
      <c r="F1231" s="40" t="s">
        <v>1053</v>
      </c>
      <c r="G1231" s="467" t="s">
        <v>1129</v>
      </c>
      <c r="H1231" s="7" t="s">
        <v>1121</v>
      </c>
      <c r="I1231" s="256"/>
      <c r="J1231" s="256"/>
      <c r="K1231" s="568">
        <v>928560</v>
      </c>
      <c r="L1231" s="39" t="s">
        <v>9</v>
      </c>
      <c r="M1231" s="39" t="s">
        <v>8</v>
      </c>
      <c r="N1231" s="52" t="str">
        <f>IF(AND('331-CT'!$E$7=TH!H1231,OR(L1231="331",M1231="331")),"331",IF(AND(OR(L1231="131",M1231="131"),H1231='131-CT'!$E$7),"131",""))</f>
        <v/>
      </c>
      <c r="O1231" s="89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15">
        <v>4</v>
      </c>
      <c r="AC1231" s="211" t="str">
        <f t="shared" ref="AC1231:AC1232" si="180">IF(H1231=VLOOKUP(H1231,DSKH,1,0),"","x")</f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>NL/N14</v>
      </c>
      <c r="B1232" s="36">
        <f t="shared" si="154"/>
        <v>12</v>
      </c>
      <c r="C1232" s="37">
        <f t="shared" si="155"/>
        <v>42002</v>
      </c>
      <c r="D1232" s="191" t="s">
        <v>1226</v>
      </c>
      <c r="E1232" s="730">
        <v>42002</v>
      </c>
      <c r="F1232" s="189" t="s">
        <v>895</v>
      </c>
      <c r="G1232" s="467" t="s">
        <v>1129</v>
      </c>
      <c r="H1232" s="7" t="s">
        <v>1121</v>
      </c>
      <c r="I1232" s="256"/>
      <c r="J1232" s="256"/>
      <c r="K1232" s="568">
        <v>10214160</v>
      </c>
      <c r="L1232" s="39" t="s">
        <v>8</v>
      </c>
      <c r="M1232" s="39" t="s">
        <v>47</v>
      </c>
      <c r="N1232" s="52" t="str">
        <f>IF(AND('331-CT'!$E$7=TH!H1232,OR(L1232="331",M1232="331")),"331",IF(AND(OR(L1232="131",M1232="131"),H1232='131-CT'!$E$7),"131",""))</f>
        <v/>
      </c>
      <c r="O1232" s="89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15"/>
      <c r="AC1232" s="211" t="str">
        <f t="shared" si="180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54"/>
        <v>12</v>
      </c>
      <c r="C1233" s="37">
        <f t="shared" si="155"/>
        <v>42003</v>
      </c>
      <c r="D1233" s="191" t="s">
        <v>1227</v>
      </c>
      <c r="E1233" s="37">
        <v>42003</v>
      </c>
      <c r="F1233" s="296" t="s">
        <v>1080</v>
      </c>
      <c r="G1233" s="467" t="s">
        <v>1130</v>
      </c>
      <c r="H1233" s="7" t="s">
        <v>1121</v>
      </c>
      <c r="I1233" s="256">
        <v>2259</v>
      </c>
      <c r="J1233" s="256">
        <v>7300</v>
      </c>
      <c r="K1233" s="568">
        <f>ROUND(I1233*J1233,0)</f>
        <v>16490700</v>
      </c>
      <c r="L1233" s="39" t="s">
        <v>159</v>
      </c>
      <c r="M1233" s="39" t="s">
        <v>8</v>
      </c>
      <c r="N1233" s="52" t="str">
        <f>IF(AND('331-CT'!$E$7=TH!H1233,OR(L1233="331",M1233="331")),"331",IF(AND(OR(L1233="131",M1233="131"),H1233='131-CT'!$E$7),"131",""))</f>
        <v/>
      </c>
      <c r="O1233" s="89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>x</v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15">
        <v>4</v>
      </c>
      <c r="AC1233" s="211" t="str">
        <f t="shared" si="171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ref="B1234" si="181">IF(C1234&lt;&gt;"",MONTH(C1234),"")</f>
        <v>12</v>
      </c>
      <c r="C1234" s="37">
        <f t="shared" ref="C1234" si="182">E1234</f>
        <v>42003</v>
      </c>
      <c r="D1234" s="191" t="s">
        <v>1227</v>
      </c>
      <c r="E1234" s="37">
        <v>42003</v>
      </c>
      <c r="F1234" s="40" t="s">
        <v>1053</v>
      </c>
      <c r="G1234" s="467" t="s">
        <v>1130</v>
      </c>
      <c r="H1234" s="7" t="s">
        <v>1121</v>
      </c>
      <c r="I1234" s="256"/>
      <c r="J1234" s="256"/>
      <c r="K1234" s="568">
        <v>1649070</v>
      </c>
      <c r="L1234" s="39" t="s">
        <v>9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15">
        <v>4</v>
      </c>
      <c r="AC1234" s="211" t="str">
        <f t="shared" ref="AC1234:AC1235" si="183">IF(H1234=VLOOKUP(H1234,DSKH,1,0),"","x")</f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>NL/N15</v>
      </c>
      <c r="B1235" s="36">
        <f t="shared" si="154"/>
        <v>12</v>
      </c>
      <c r="C1235" s="37">
        <f t="shared" si="155"/>
        <v>42003</v>
      </c>
      <c r="D1235" s="191" t="s">
        <v>1227</v>
      </c>
      <c r="E1235" s="37">
        <v>42003</v>
      </c>
      <c r="F1235" s="189" t="s">
        <v>895</v>
      </c>
      <c r="G1235" s="467" t="s">
        <v>1130</v>
      </c>
      <c r="H1235" s="7" t="s">
        <v>1121</v>
      </c>
      <c r="I1235" s="256"/>
      <c r="J1235" s="256"/>
      <c r="K1235" s="568">
        <v>18139770</v>
      </c>
      <c r="L1235" s="39" t="s">
        <v>8</v>
      </c>
      <c r="M1235" s="39" t="s">
        <v>47</v>
      </c>
      <c r="N1235" s="52" t="str">
        <f>IF(AND('331-CT'!$E$7=TH!H1235,OR(L1235="331",M1235="331")),"331",IF(AND(OR(L1235="131",M1235="131"),H1235='131-CT'!$E$7),"131",""))</f>
        <v/>
      </c>
      <c r="O1235" s="89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15"/>
      <c r="AC1235" s="211" t="str">
        <f t="shared" si="183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ref="B1236:B1286" si="184">IF(C1236&lt;&gt;"",MONTH(C1236),"")</f>
        <v>3</v>
      </c>
      <c r="C1236" s="37">
        <f t="shared" ref="C1236:C1248" si="185">E1236</f>
        <v>41729</v>
      </c>
      <c r="D1236" s="184" t="s">
        <v>327</v>
      </c>
      <c r="E1236" s="184">
        <v>41729</v>
      </c>
      <c r="F1236" s="189" t="s">
        <v>1269</v>
      </c>
      <c r="G1236" s="570"/>
      <c r="H1236" s="193" t="s">
        <v>1268</v>
      </c>
      <c r="I1236" s="256"/>
      <c r="J1236" s="256"/>
      <c r="K1236" s="568">
        <v>13732353</v>
      </c>
      <c r="L1236" s="569" t="s">
        <v>9</v>
      </c>
      <c r="M1236" s="569" t="s">
        <v>17</v>
      </c>
      <c r="N1236" s="52" t="str">
        <f>IF(AND('331-CT'!$E$7=TH!H1236,OR(L1236="331",M1236="331")),"331",IF(AND(OR(L1236="131",M1236="131"),H1236='131-CT'!$E$7),"131",""))</f>
        <v/>
      </c>
      <c r="O1236" s="89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15">
        <v>1</v>
      </c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84"/>
        <v>4</v>
      </c>
      <c r="C1237" s="37">
        <f t="shared" si="185"/>
        <v>41758</v>
      </c>
      <c r="D1237" s="37" t="s">
        <v>894</v>
      </c>
      <c r="E1237" s="37">
        <v>41758</v>
      </c>
      <c r="F1237" s="192" t="s">
        <v>1273</v>
      </c>
      <c r="G1237" s="40" t="s">
        <v>1271</v>
      </c>
      <c r="H1237" s="7"/>
      <c r="I1237" s="256"/>
      <c r="J1237" s="256"/>
      <c r="K1237" s="568">
        <v>1000000</v>
      </c>
      <c r="L1237" s="39" t="s">
        <v>24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>x</v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>x</v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15"/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84"/>
        <v>5</v>
      </c>
      <c r="C1238" s="37">
        <f t="shared" si="185"/>
        <v>41788</v>
      </c>
      <c r="D1238" s="37" t="s">
        <v>894</v>
      </c>
      <c r="E1238" s="37">
        <v>41788</v>
      </c>
      <c r="F1238" s="40" t="s">
        <v>1274</v>
      </c>
      <c r="G1238" s="40" t="s">
        <v>1271</v>
      </c>
      <c r="H1238" s="7" t="s">
        <v>1292</v>
      </c>
      <c r="I1238" s="256"/>
      <c r="J1238" s="256"/>
      <c r="K1238" s="568">
        <v>105000000</v>
      </c>
      <c r="L1238" s="39" t="s">
        <v>24</v>
      </c>
      <c r="M1238" s="39" t="s">
        <v>1277</v>
      </c>
      <c r="N1238" s="52" t="str">
        <f>IF(AND('331-CT'!$E$7=TH!H1238,OR(L1238="331",M1238="331")),"331",IF(AND(OR(L1238="131",M1238="131"),H1238='131-CT'!$E$7),"131",""))</f>
        <v/>
      </c>
      <c r="O1238" s="896" t="str">
        <f>IF(AND('341-CT'!$E$9=H1238,OR(LEFT(L1238,3)=$O$7,LEFT(M1238,3)=$O$7)),"x","")</f>
        <v>x</v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>x</v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15"/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ref="B1239" si="186">IF(C1239&lt;&gt;"",MONTH(C1239),"")</f>
        <v>5</v>
      </c>
      <c r="C1239" s="37">
        <f t="shared" ref="C1239" si="187">E1239</f>
        <v>41784</v>
      </c>
      <c r="D1239" s="37" t="s">
        <v>901</v>
      </c>
      <c r="E1239" s="37">
        <v>41784</v>
      </c>
      <c r="F1239" s="40" t="s">
        <v>1320</v>
      </c>
      <c r="G1239" s="40" t="s">
        <v>1271</v>
      </c>
      <c r="H1239" s="7" t="s">
        <v>1305</v>
      </c>
      <c r="I1239" s="256"/>
      <c r="J1239" s="256"/>
      <c r="K1239" s="568">
        <v>1000000000</v>
      </c>
      <c r="L1239" s="39" t="s">
        <v>24</v>
      </c>
      <c r="M1239" s="39" t="s">
        <v>1275</v>
      </c>
      <c r="N1239" s="52" t="str">
        <f>IF(AND('331-CT'!$E$7=TH!H1239,OR(L1239="331",M1239="331")),"331",IF(AND(OR(L1239="131",M1239="131"),H1239='131-CT'!$E$7),"131",""))</f>
        <v/>
      </c>
      <c r="O1239" s="89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>x</v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15"/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ref="B1240" si="188">IF(C1240&lt;&gt;"",MONTH(C1240),"")</f>
        <v>5</v>
      </c>
      <c r="C1240" s="37">
        <f t="shared" ref="C1240" si="189">E1240</f>
        <v>41784</v>
      </c>
      <c r="D1240" s="37" t="s">
        <v>901</v>
      </c>
      <c r="E1240" s="37">
        <v>41784</v>
      </c>
      <c r="F1240" s="189" t="s">
        <v>895</v>
      </c>
      <c r="G1240" s="40" t="s">
        <v>1271</v>
      </c>
      <c r="H1240" s="850" t="s">
        <v>1242</v>
      </c>
      <c r="I1240" s="256"/>
      <c r="J1240" s="256"/>
      <c r="K1240" s="568">
        <v>1000000000</v>
      </c>
      <c r="L1240" s="39" t="s">
        <v>8</v>
      </c>
      <c r="M1240" s="39" t="s">
        <v>24</v>
      </c>
      <c r="N1240" s="52" t="str">
        <f>IF(AND('331-CT'!$E$7=TH!H1240,OR(L1240="331",M1240="331")),"331",IF(AND(OR(L1240="131",M1240="131"),H1240='131-CT'!$E$7),"131",""))</f>
        <v>331</v>
      </c>
      <c r="O1240" s="89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>x</v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15"/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84"/>
        <v>5</v>
      </c>
      <c r="C1241" s="37">
        <f t="shared" si="185"/>
        <v>41789</v>
      </c>
      <c r="D1241" s="37" t="s">
        <v>901</v>
      </c>
      <c r="E1241" s="37">
        <v>41789</v>
      </c>
      <c r="F1241" s="189" t="s">
        <v>895</v>
      </c>
      <c r="G1241" s="40" t="s">
        <v>1271</v>
      </c>
      <c r="H1241" s="7" t="s">
        <v>1144</v>
      </c>
      <c r="I1241" s="256"/>
      <c r="J1241" s="256"/>
      <c r="K1241" s="568">
        <v>49591616</v>
      </c>
      <c r="L1241" s="39" t="s">
        <v>8</v>
      </c>
      <c r="M1241" s="39" t="s">
        <v>24</v>
      </c>
      <c r="N1241" s="52" t="str">
        <f>IF(AND('331-CT'!$E$7=TH!H1241,OR(L1241="331",M1241="331")),"331",IF(AND(OR(L1241="131",M1241="131"),H1241='131-CT'!$E$7),"131",""))</f>
        <v/>
      </c>
      <c r="O1241" s="89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>x</v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15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84"/>
        <v>5</v>
      </c>
      <c r="C1242" s="37">
        <f t="shared" si="185"/>
        <v>41789</v>
      </c>
      <c r="D1242" s="37" t="s">
        <v>901</v>
      </c>
      <c r="E1242" s="37">
        <v>41789</v>
      </c>
      <c r="F1242" s="40" t="s">
        <v>1297</v>
      </c>
      <c r="G1242" s="40" t="s">
        <v>1271</v>
      </c>
      <c r="H1242" s="7"/>
      <c r="I1242" s="256"/>
      <c r="J1242" s="256"/>
      <c r="K1242" s="568">
        <v>30000</v>
      </c>
      <c r="L1242" s="39" t="s">
        <v>83</v>
      </c>
      <c r="M1242" s="39" t="s">
        <v>24</v>
      </c>
      <c r="N1242" s="52" t="str">
        <f>IF(AND('331-CT'!$E$7=TH!H1242,OR(L1242="331",M1242="331")),"331",IF(AND(OR(L1242="131",M1242="131"),H1242='131-CT'!$E$7),"131",""))</f>
        <v/>
      </c>
      <c r="O1242" s="89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>x</v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642</v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15"/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84"/>
        <v>5</v>
      </c>
      <c r="C1243" s="37">
        <f t="shared" si="185"/>
        <v>41789</v>
      </c>
      <c r="D1243" s="37" t="s">
        <v>901</v>
      </c>
      <c r="E1243" s="37">
        <v>41789</v>
      </c>
      <c r="F1243" s="189" t="s">
        <v>895</v>
      </c>
      <c r="G1243" s="40" t="s">
        <v>1271</v>
      </c>
      <c r="H1243" s="7" t="s">
        <v>1095</v>
      </c>
      <c r="I1243" s="256"/>
      <c r="J1243" s="256"/>
      <c r="K1243" s="568">
        <v>52920431</v>
      </c>
      <c r="L1243" s="39" t="s">
        <v>8</v>
      </c>
      <c r="M1243" s="39" t="s">
        <v>24</v>
      </c>
      <c r="N1243" s="52" t="str">
        <f>IF(AND('331-CT'!$E$7=TH!H1243,OR(L1243="331",M1243="331")),"331",IF(AND(OR(L1243="131",M1243="131"),H1243='131-CT'!$E$7),"131",""))</f>
        <v/>
      </c>
      <c r="O1243" s="89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>x</v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15"/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84"/>
        <v>5</v>
      </c>
      <c r="C1244" s="37">
        <f t="shared" si="185"/>
        <v>41789</v>
      </c>
      <c r="D1244" s="37" t="s">
        <v>901</v>
      </c>
      <c r="E1244" s="37">
        <v>41789</v>
      </c>
      <c r="F1244" s="40" t="s">
        <v>1298</v>
      </c>
      <c r="G1244" s="40" t="s">
        <v>1271</v>
      </c>
      <c r="H1244" s="7" t="s">
        <v>1299</v>
      </c>
      <c r="I1244" s="256"/>
      <c r="J1244" s="256"/>
      <c r="K1244" s="568">
        <v>2000000</v>
      </c>
      <c r="L1244" s="39" t="s">
        <v>47</v>
      </c>
      <c r="M1244" s="39" t="s">
        <v>24</v>
      </c>
      <c r="N1244" s="52" t="str">
        <f>IF(AND('331-CT'!$E$7=TH!H1244,OR(L1244="331",M1244="331")),"331",IF(AND(OR(L1244="131",M1244="131"),H1244='131-CT'!$E$7),"131",""))</f>
        <v/>
      </c>
      <c r="O1244" s="89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>x</v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>x</v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15"/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84"/>
        <v>5</v>
      </c>
      <c r="C1245" s="37">
        <f t="shared" si="185"/>
        <v>41789</v>
      </c>
      <c r="D1245" s="37" t="s">
        <v>901</v>
      </c>
      <c r="E1245" s="37">
        <v>41789</v>
      </c>
      <c r="F1245" s="40" t="s">
        <v>902</v>
      </c>
      <c r="G1245" s="40" t="s">
        <v>1271</v>
      </c>
      <c r="H1245" s="7"/>
      <c r="I1245" s="256"/>
      <c r="J1245" s="256"/>
      <c r="K1245" s="568">
        <v>11000</v>
      </c>
      <c r="L1245" s="39" t="s">
        <v>83</v>
      </c>
      <c r="M1245" s="39" t="s">
        <v>24</v>
      </c>
      <c r="N1245" s="52" t="str">
        <f>IF(AND('331-CT'!$E$7=TH!H1245,OR(L1245="331",M1245="331")),"331",IF(AND(OR(L1245="131",M1245="131"),H1245='131-CT'!$E$7),"131",""))</f>
        <v/>
      </c>
      <c r="O1245" s="89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>x</v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642</v>
      </c>
      <c r="W1245" s="52" t="str">
        <f>IF(OR(TH!L1245=TH!$W$7,M1245=TH!$W$7),"x","")</f>
        <v>x</v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15"/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84"/>
        <v>5</v>
      </c>
      <c r="C1246" s="37">
        <f t="shared" si="185"/>
        <v>41790</v>
      </c>
      <c r="D1246" s="37" t="s">
        <v>894</v>
      </c>
      <c r="E1246" s="37">
        <v>41790</v>
      </c>
      <c r="F1246" s="192" t="s">
        <v>897</v>
      </c>
      <c r="G1246" s="40" t="s">
        <v>1271</v>
      </c>
      <c r="H1246" s="7"/>
      <c r="I1246" s="256"/>
      <c r="J1246" s="256"/>
      <c r="K1246" s="568">
        <v>1900</v>
      </c>
      <c r="L1246" s="39" t="s">
        <v>24</v>
      </c>
      <c r="M1246" s="39" t="s">
        <v>40</v>
      </c>
      <c r="N1246" s="52" t="str">
        <f>IF(AND('331-CT'!$E$7=TH!H1246,OR(L1246="331",M1246="331")),"331",IF(AND(OR(L1246="131",M1246="131"),H1246='131-CT'!$E$7),"131",""))</f>
        <v/>
      </c>
      <c r="O1246" s="89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>x</v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15"/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84"/>
        <v>6</v>
      </c>
      <c r="C1247" s="37">
        <f t="shared" si="185"/>
        <v>41801</v>
      </c>
      <c r="D1247" s="37" t="s">
        <v>901</v>
      </c>
      <c r="E1247" s="37">
        <v>41801</v>
      </c>
      <c r="F1247" s="40" t="s">
        <v>1300</v>
      </c>
      <c r="G1247" s="40" t="s">
        <v>1271</v>
      </c>
      <c r="H1247" s="7"/>
      <c r="I1247" s="256"/>
      <c r="J1247" s="256"/>
      <c r="K1247" s="568">
        <v>15000</v>
      </c>
      <c r="L1247" s="39" t="s">
        <v>83</v>
      </c>
      <c r="M1247" s="39" t="s">
        <v>24</v>
      </c>
      <c r="N1247" s="52" t="str">
        <f>IF(AND('331-CT'!$E$7=TH!H1247,OR(L1247="331",M1247="331")),"331",IF(AND(OR(L1247="131",M1247="131"),H1247='131-CT'!$E$7),"131",""))</f>
        <v/>
      </c>
      <c r="O1247" s="89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>x</v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642</v>
      </c>
      <c r="W1247" s="52" t="str">
        <f>IF(OR(TH!L1247=TH!$W$7,M1247=TH!$W$7),"x","")</f>
        <v>x</v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15"/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84"/>
        <v>6</v>
      </c>
      <c r="C1248" s="37">
        <f t="shared" si="185"/>
        <v>41801</v>
      </c>
      <c r="D1248" s="37" t="s">
        <v>894</v>
      </c>
      <c r="E1248" s="37">
        <v>41801</v>
      </c>
      <c r="F1248" s="40" t="s">
        <v>1301</v>
      </c>
      <c r="G1248" s="40" t="s">
        <v>1271</v>
      </c>
      <c r="H1248" s="7" t="s">
        <v>1302</v>
      </c>
      <c r="I1248" s="256"/>
      <c r="J1248" s="256"/>
      <c r="K1248" s="568">
        <v>98560000</v>
      </c>
      <c r="L1248" s="39" t="s">
        <v>24</v>
      </c>
      <c r="M1248" s="39" t="s">
        <v>1277</v>
      </c>
      <c r="N1248" s="52" t="str">
        <f>IF(AND('331-CT'!$E$7=TH!H1248,OR(L1248="331",M1248="331")),"331",IF(AND(OR(L1248="131",M1248="131"),H1248='131-CT'!$E$7),"131",""))</f>
        <v/>
      </c>
      <c r="O1248" s="89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>x</v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15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84"/>
        <v>6</v>
      </c>
      <c r="C1249" s="37">
        <f t="shared" ref="C1249:C1254" si="190">E1249</f>
        <v>41801</v>
      </c>
      <c r="D1249" s="37" t="s">
        <v>901</v>
      </c>
      <c r="E1249" s="37">
        <v>41801</v>
      </c>
      <c r="F1249" s="40" t="s">
        <v>1298</v>
      </c>
      <c r="G1249" s="40" t="s">
        <v>1271</v>
      </c>
      <c r="H1249" s="7" t="s">
        <v>899</v>
      </c>
      <c r="I1249" s="256"/>
      <c r="J1249" s="256"/>
      <c r="K1249" s="568">
        <v>98560000</v>
      </c>
      <c r="L1249" s="39" t="s">
        <v>47</v>
      </c>
      <c r="M1249" s="39" t="s">
        <v>24</v>
      </c>
      <c r="N1249" s="52" t="str">
        <f>IF(AND('331-CT'!$E$7=TH!H1249,OR(L1249="331",M1249="331")),"331",IF(AND(OR(L1249="131",M1249="131"),H1249='131-CT'!$E$7),"131",""))</f>
        <v/>
      </c>
      <c r="O1249" s="89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>x</v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>x</v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15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84"/>
        <v>6</v>
      </c>
      <c r="C1250" s="37">
        <f t="shared" si="190"/>
        <v>41801</v>
      </c>
      <c r="D1250" s="37" t="s">
        <v>901</v>
      </c>
      <c r="E1250" s="37">
        <v>41801</v>
      </c>
      <c r="F1250" s="40" t="s">
        <v>902</v>
      </c>
      <c r="G1250" s="40" t="s">
        <v>1271</v>
      </c>
      <c r="H1250" s="7"/>
      <c r="I1250" s="256"/>
      <c r="J1250" s="256"/>
      <c r="K1250" s="568">
        <v>11000</v>
      </c>
      <c r="L1250" s="39" t="s">
        <v>83</v>
      </c>
      <c r="M1250" s="39" t="s">
        <v>24</v>
      </c>
      <c r="N1250" s="52" t="str">
        <f>IF(AND('331-CT'!$E$7=TH!H1250,OR(L1250="331",M1250="331")),"331",IF(AND(OR(L1250="131",M1250="131"),H1250='131-CT'!$E$7),"131",""))</f>
        <v/>
      </c>
      <c r="O1250" s="89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>x</v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>642</v>
      </c>
      <c r="W1250" s="52" t="str">
        <f>IF(OR(TH!L1250=TH!$W$7,M1250=TH!$W$7),"x","")</f>
        <v>x</v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15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84"/>
        <v>6</v>
      </c>
      <c r="C1251" s="37">
        <f t="shared" si="190"/>
        <v>41815</v>
      </c>
      <c r="D1251" s="37" t="s">
        <v>894</v>
      </c>
      <c r="E1251" s="191">
        <v>41815</v>
      </c>
      <c r="F1251" s="192" t="s">
        <v>1273</v>
      </c>
      <c r="G1251" s="40" t="s">
        <v>1271</v>
      </c>
      <c r="H1251" s="193" t="s">
        <v>1303</v>
      </c>
      <c r="I1251" s="256"/>
      <c r="J1251" s="256"/>
      <c r="K1251" s="568">
        <v>11704000</v>
      </c>
      <c r="L1251" s="39" t="s">
        <v>24</v>
      </c>
      <c r="M1251" s="194" t="s">
        <v>47</v>
      </c>
      <c r="N1251" s="52" t="str">
        <f>IF(AND('331-CT'!$E$7=TH!H1251,OR(L1251="331",M1251="331")),"331",IF(AND(OR(L1251="131",M1251="131"),H1251='131-CT'!$E$7),"131",""))</f>
        <v/>
      </c>
      <c r="O1251" s="89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>x</v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>x</v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15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84"/>
        <v>6</v>
      </c>
      <c r="C1252" s="37">
        <f t="shared" si="190"/>
        <v>41815</v>
      </c>
      <c r="D1252" s="37" t="s">
        <v>901</v>
      </c>
      <c r="E1252" s="191">
        <v>41815</v>
      </c>
      <c r="F1252" s="192" t="s">
        <v>1304</v>
      </c>
      <c r="G1252" s="40" t="s">
        <v>1271</v>
      </c>
      <c r="H1252" s="7" t="s">
        <v>1292</v>
      </c>
      <c r="I1252" s="257"/>
      <c r="J1252" s="257"/>
      <c r="K1252" s="568">
        <v>939167</v>
      </c>
      <c r="L1252" s="39" t="s">
        <v>81</v>
      </c>
      <c r="M1252" s="194" t="s">
        <v>24</v>
      </c>
      <c r="N1252" s="52" t="str">
        <f>IF(AND('331-CT'!$E$7=TH!H1252,OR(L1252="331",M1252="331")),"331",IF(AND(OR(L1252="131",M1252="131"),H1252='131-CT'!$E$7),"131",""))</f>
        <v/>
      </c>
      <c r="O1252" s="89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>x</v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15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84"/>
        <v>6</v>
      </c>
      <c r="C1253" s="37">
        <f t="shared" si="190"/>
        <v>41815</v>
      </c>
      <c r="D1253" s="37" t="s">
        <v>901</v>
      </c>
      <c r="E1253" s="191">
        <v>41815</v>
      </c>
      <c r="F1253" s="192" t="s">
        <v>1304</v>
      </c>
      <c r="G1253" s="40" t="s">
        <v>1271</v>
      </c>
      <c r="H1253" s="7" t="s">
        <v>1305</v>
      </c>
      <c r="I1253" s="256"/>
      <c r="J1253" s="256"/>
      <c r="K1253" s="568">
        <v>10763889</v>
      </c>
      <c r="L1253" s="39" t="s">
        <v>81</v>
      </c>
      <c r="M1253" s="194" t="s">
        <v>24</v>
      </c>
      <c r="N1253" s="52" t="str">
        <f>IF(AND('331-CT'!$E$7=TH!H1253,OR(L1253="331",M1253="331")),"331",IF(AND(OR(L1253="131",M1253="131"),H1253='131-CT'!$E$7),"131",""))</f>
        <v/>
      </c>
      <c r="O1253" s="89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>x</v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15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84"/>
        <v>6</v>
      </c>
      <c r="C1254" s="37">
        <f t="shared" si="190"/>
        <v>41820</v>
      </c>
      <c r="D1254" s="37" t="s">
        <v>894</v>
      </c>
      <c r="E1254" s="191">
        <v>41820</v>
      </c>
      <c r="F1254" s="192" t="s">
        <v>897</v>
      </c>
      <c r="G1254" s="40" t="s">
        <v>1271</v>
      </c>
      <c r="H1254" s="7"/>
      <c r="I1254" s="256"/>
      <c r="J1254" s="256"/>
      <c r="K1254" s="568">
        <v>600</v>
      </c>
      <c r="L1254" s="39" t="s">
        <v>24</v>
      </c>
      <c r="M1254" s="39" t="s">
        <v>40</v>
      </c>
      <c r="N1254" s="52" t="str">
        <f>IF(AND('331-CT'!$E$7=TH!H1254,OR(L1254="331",M1254="331")),"331",IF(AND(OR(L1254="131",M1254="131"),H1254='131-CT'!$E$7),"131",""))</f>
        <v/>
      </c>
      <c r="O1254" s="89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>x</v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15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84"/>
        <v>7</v>
      </c>
      <c r="C1255" s="37">
        <f t="shared" ref="C1255:C1318" si="191">E1255</f>
        <v>41845</v>
      </c>
      <c r="D1255" s="37" t="s">
        <v>894</v>
      </c>
      <c r="E1255" s="191">
        <v>41845</v>
      </c>
      <c r="F1255" s="192" t="s">
        <v>1273</v>
      </c>
      <c r="G1255" s="40" t="s">
        <v>1271</v>
      </c>
      <c r="H1255" s="193" t="s">
        <v>1303</v>
      </c>
      <c r="I1255" s="256"/>
      <c r="J1255" s="256"/>
      <c r="K1255" s="568">
        <v>12841000</v>
      </c>
      <c r="L1255" s="39" t="s">
        <v>24</v>
      </c>
      <c r="M1255" s="194" t="s">
        <v>47</v>
      </c>
      <c r="N1255" s="52" t="str">
        <f>IF(AND('331-CT'!$E$7=TH!H1255,OR(L1255="331",M1255="331")),"331",IF(AND(OR(L1255="131",M1255="131"),H1255='131-CT'!$E$7),"131",""))</f>
        <v/>
      </c>
      <c r="O1255" s="896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>x</v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15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84"/>
        <v>7</v>
      </c>
      <c r="C1256" s="37">
        <f t="shared" si="191"/>
        <v>41845</v>
      </c>
      <c r="D1256" s="37" t="s">
        <v>901</v>
      </c>
      <c r="E1256" s="191">
        <v>41845</v>
      </c>
      <c r="F1256" s="192" t="s">
        <v>1304</v>
      </c>
      <c r="G1256" s="40" t="s">
        <v>1271</v>
      </c>
      <c r="H1256" s="7" t="s">
        <v>1302</v>
      </c>
      <c r="I1256" s="257"/>
      <c r="J1256" s="257"/>
      <c r="K1256" s="568">
        <v>1416800</v>
      </c>
      <c r="L1256" s="39" t="s">
        <v>81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89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>x</v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15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84"/>
        <v>7</v>
      </c>
      <c r="C1257" s="37">
        <f t="shared" si="191"/>
        <v>41845</v>
      </c>
      <c r="D1257" s="37" t="s">
        <v>901</v>
      </c>
      <c r="E1257" s="191">
        <v>41845</v>
      </c>
      <c r="F1257" s="192" t="s">
        <v>1304</v>
      </c>
      <c r="G1257" s="40" t="s">
        <v>1271</v>
      </c>
      <c r="H1257" s="7" t="s">
        <v>1292</v>
      </c>
      <c r="I1257" s="256"/>
      <c r="J1257" s="256"/>
      <c r="K1257" s="568">
        <v>1006250</v>
      </c>
      <c r="L1257" s="39" t="s">
        <v>81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89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>x</v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15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84"/>
        <v>7</v>
      </c>
      <c r="C1258" s="37">
        <f t="shared" si="191"/>
        <v>41845</v>
      </c>
      <c r="D1258" s="37" t="s">
        <v>901</v>
      </c>
      <c r="E1258" s="191">
        <v>41845</v>
      </c>
      <c r="F1258" s="192" t="s">
        <v>1304</v>
      </c>
      <c r="G1258" s="40" t="s">
        <v>1271</v>
      </c>
      <c r="H1258" s="7" t="s">
        <v>1305</v>
      </c>
      <c r="I1258" s="257"/>
      <c r="J1258" s="257"/>
      <c r="K1258" s="568">
        <v>10416666</v>
      </c>
      <c r="L1258" s="39" t="s">
        <v>81</v>
      </c>
      <c r="M1258" s="194" t="s">
        <v>24</v>
      </c>
      <c r="N1258" s="52" t="str">
        <f>IF(AND('331-CT'!$E$7=TH!H1258,OR(L1258="331",M1258="331")),"331",IF(AND(OR(L1258="131",M1258="131"),H1258='131-CT'!$E$7),"131",""))</f>
        <v/>
      </c>
      <c r="O1258" s="89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>x</v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15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84"/>
        <v>7</v>
      </c>
      <c r="C1259" s="37">
        <f t="shared" si="191"/>
        <v>41851</v>
      </c>
      <c r="D1259" s="37" t="s">
        <v>894</v>
      </c>
      <c r="E1259" s="191">
        <v>41851</v>
      </c>
      <c r="F1259" s="192" t="s">
        <v>1273</v>
      </c>
      <c r="G1259" s="40" t="s">
        <v>1271</v>
      </c>
      <c r="H1259" s="193" t="s">
        <v>1306</v>
      </c>
      <c r="I1259" s="256"/>
      <c r="J1259" s="256"/>
      <c r="K1259" s="568">
        <v>100000000</v>
      </c>
      <c r="L1259" s="39" t="s">
        <v>24</v>
      </c>
      <c r="M1259" s="194" t="s">
        <v>47</v>
      </c>
      <c r="N1259" s="52" t="str">
        <f>IF(AND('331-CT'!$E$7=TH!H1259,OR(L1259="331",M1259="331")),"331",IF(AND(OR(L1259="131",M1259="131"),H1259='131-CT'!$E$7),"131",""))</f>
        <v/>
      </c>
      <c r="O1259" s="896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>x</v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15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84"/>
        <v>7</v>
      </c>
      <c r="C1260" s="37">
        <f t="shared" si="191"/>
        <v>41851</v>
      </c>
      <c r="D1260" s="37" t="s">
        <v>901</v>
      </c>
      <c r="E1260" s="191">
        <v>41851</v>
      </c>
      <c r="F1260" s="189" t="s">
        <v>895</v>
      </c>
      <c r="G1260" s="40" t="s">
        <v>1271</v>
      </c>
      <c r="H1260" s="7" t="s">
        <v>1014</v>
      </c>
      <c r="I1260" s="256"/>
      <c r="J1260" s="256"/>
      <c r="K1260" s="568">
        <v>30000000</v>
      </c>
      <c r="L1260" s="39" t="s">
        <v>8</v>
      </c>
      <c r="M1260" s="39" t="s">
        <v>24</v>
      </c>
      <c r="N1260" s="52" t="str">
        <f>IF(AND('331-CT'!$E$7=TH!H1260,OR(L1260="331",M1260="331")),"331",IF(AND(OR(L1260="131",M1260="131"),H1260='131-CT'!$E$7),"131",""))</f>
        <v/>
      </c>
      <c r="O1260" s="89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>x</v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15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ref="B1261" si="192">IF(C1261&lt;&gt;"",MONTH(C1261),"")</f>
        <v>7</v>
      </c>
      <c r="C1261" s="37">
        <f t="shared" si="191"/>
        <v>41851</v>
      </c>
      <c r="D1261" s="37" t="s">
        <v>901</v>
      </c>
      <c r="E1261" s="191">
        <v>41851</v>
      </c>
      <c r="F1261" s="40" t="s">
        <v>902</v>
      </c>
      <c r="G1261" s="40" t="s">
        <v>1271</v>
      </c>
      <c r="H1261" s="7"/>
      <c r="I1261" s="256"/>
      <c r="J1261" s="256"/>
      <c r="K1261" s="568">
        <v>11000</v>
      </c>
      <c r="L1261" s="39" t="s">
        <v>83</v>
      </c>
      <c r="M1261" s="39" t="s">
        <v>24</v>
      </c>
      <c r="N1261" s="52" t="str">
        <f>IF(AND('331-CT'!$E$7=TH!H1261,OR(L1261="331",M1261="331")),"331",IF(AND(OR(L1261="131",M1261="131"),H1261='131-CT'!$E$7),"131",""))</f>
        <v/>
      </c>
      <c r="O1261" s="89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>x</v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>x</v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15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84"/>
        <v>7</v>
      </c>
      <c r="C1262" s="37">
        <f t="shared" si="191"/>
        <v>41851</v>
      </c>
      <c r="D1262" s="37" t="s">
        <v>901</v>
      </c>
      <c r="E1262" s="191">
        <v>41851</v>
      </c>
      <c r="F1262" s="189" t="s">
        <v>895</v>
      </c>
      <c r="G1262" s="40" t="s">
        <v>1271</v>
      </c>
      <c r="H1262" s="7" t="s">
        <v>1078</v>
      </c>
      <c r="I1262" s="256"/>
      <c r="J1262" s="256"/>
      <c r="K1262" s="568">
        <v>50000000</v>
      </c>
      <c r="L1262" s="39" t="s">
        <v>8</v>
      </c>
      <c r="M1262" s="39" t="s">
        <v>24</v>
      </c>
      <c r="N1262" s="52" t="str">
        <f>IF(AND('331-CT'!$E$7=TH!H1262,OR(L1262="331",M1262="331")),"331",IF(AND(OR(L1262="131",M1262="131"),H1262='131-CT'!$E$7),"131",""))</f>
        <v/>
      </c>
      <c r="O1262" s="89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>x</v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15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84"/>
        <v>7</v>
      </c>
      <c r="C1263" s="37">
        <f t="shared" ref="C1263" si="193">E1263</f>
        <v>41851</v>
      </c>
      <c r="D1263" s="37" t="s">
        <v>901</v>
      </c>
      <c r="E1263" s="191">
        <v>41851</v>
      </c>
      <c r="F1263" s="40" t="s">
        <v>902</v>
      </c>
      <c r="G1263" s="40" t="s">
        <v>1271</v>
      </c>
      <c r="H1263" s="7"/>
      <c r="I1263" s="256"/>
      <c r="J1263" s="256"/>
      <c r="K1263" s="568">
        <v>11000</v>
      </c>
      <c r="L1263" s="39" t="s">
        <v>83</v>
      </c>
      <c r="M1263" s="39" t="s">
        <v>24</v>
      </c>
      <c r="N1263" s="52" t="str">
        <f>IF(AND('331-CT'!$E$7=TH!H1263,OR(L1263="331",M1263="331")),"331",IF(AND(OR(L1263="131",M1263="131"),H1263='131-CT'!$E$7),"131",""))</f>
        <v/>
      </c>
      <c r="O1263" s="89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>x</v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>x</v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15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84"/>
        <v>7</v>
      </c>
      <c r="C1264" s="37">
        <f t="shared" si="191"/>
        <v>41851</v>
      </c>
      <c r="D1264" s="37" t="s">
        <v>901</v>
      </c>
      <c r="E1264" s="191">
        <v>41851</v>
      </c>
      <c r="F1264" s="189" t="s">
        <v>895</v>
      </c>
      <c r="G1264" s="40" t="s">
        <v>1271</v>
      </c>
      <c r="H1264" s="909" t="s">
        <v>1107</v>
      </c>
      <c r="I1264" s="256"/>
      <c r="J1264" s="256"/>
      <c r="K1264" s="568">
        <v>6000000</v>
      </c>
      <c r="L1264" s="39" t="s">
        <v>8</v>
      </c>
      <c r="M1264" s="39" t="s">
        <v>24</v>
      </c>
      <c r="N1264" s="52" t="str">
        <f>IF(AND('331-CT'!$E$7=TH!H1264,OR(L1264="331",M1264="331")),"331",IF(AND(OR(L1264="131",M1264="131"),H1264='131-CT'!$E$7),"131",""))</f>
        <v/>
      </c>
      <c r="O1264" s="89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>x</v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15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84"/>
        <v>7</v>
      </c>
      <c r="C1265" s="37">
        <f t="shared" si="191"/>
        <v>41851</v>
      </c>
      <c r="D1265" s="37" t="s">
        <v>901</v>
      </c>
      <c r="E1265" s="191">
        <v>41851</v>
      </c>
      <c r="F1265" s="40" t="s">
        <v>902</v>
      </c>
      <c r="G1265" s="40" t="s">
        <v>1271</v>
      </c>
      <c r="H1265" s="193"/>
      <c r="I1265" s="256"/>
      <c r="J1265" s="256"/>
      <c r="K1265" s="568">
        <v>11000</v>
      </c>
      <c r="L1265" s="39" t="s">
        <v>83</v>
      </c>
      <c r="M1265" s="39" t="s">
        <v>24</v>
      </c>
      <c r="N1265" s="52" t="str">
        <f>IF(AND('331-CT'!$E$7=TH!H1265,OR(L1265="331",M1265="331")),"331",IF(AND(OR(L1265="131",M1265="131"),H1265='131-CT'!$E$7),"131",""))</f>
        <v/>
      </c>
      <c r="O1265" s="89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>x</v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>x</v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15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84"/>
        <v>7</v>
      </c>
      <c r="C1266" s="37">
        <f t="shared" si="191"/>
        <v>41851</v>
      </c>
      <c r="D1266" s="37" t="s">
        <v>901</v>
      </c>
      <c r="E1266" s="191">
        <v>41851</v>
      </c>
      <c r="F1266" s="189" t="s">
        <v>895</v>
      </c>
      <c r="G1266" s="40" t="s">
        <v>1271</v>
      </c>
      <c r="H1266" s="7" t="s">
        <v>1144</v>
      </c>
      <c r="I1266" s="256"/>
      <c r="J1266" s="256"/>
      <c r="K1266" s="568">
        <v>14000000</v>
      </c>
      <c r="L1266" s="39" t="s">
        <v>8</v>
      </c>
      <c r="M1266" s="39" t="s">
        <v>24</v>
      </c>
      <c r="N1266" s="52" t="str">
        <f>IF(AND('331-CT'!$E$7=TH!H1266,OR(L1266="331",M1266="331")),"331",IF(AND(OR(L1266="131",M1266="131"),H1266='131-CT'!$E$7),"131",""))</f>
        <v/>
      </c>
      <c r="O1266" s="89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>x</v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15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84"/>
        <v>7</v>
      </c>
      <c r="C1267" s="37">
        <f t="shared" si="191"/>
        <v>41851</v>
      </c>
      <c r="D1267" s="37" t="s">
        <v>901</v>
      </c>
      <c r="E1267" s="191">
        <v>41851</v>
      </c>
      <c r="F1267" s="40" t="s">
        <v>902</v>
      </c>
      <c r="G1267" s="40" t="s">
        <v>1271</v>
      </c>
      <c r="H1267" s="193"/>
      <c r="I1267" s="256"/>
      <c r="J1267" s="256"/>
      <c r="K1267" s="568">
        <v>22000</v>
      </c>
      <c r="L1267" s="39" t="s">
        <v>83</v>
      </c>
      <c r="M1267" s="39" t="s">
        <v>24</v>
      </c>
      <c r="N1267" s="52" t="str">
        <f>IF(AND('331-CT'!$E$7=TH!H1267,OR(L1267="331",M1267="331")),"331",IF(AND(OR(L1267="131",M1267="131"),H1267='131-CT'!$E$7),"131",""))</f>
        <v/>
      </c>
      <c r="O1267" s="89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>x</v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>x</v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15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84"/>
        <v>7</v>
      </c>
      <c r="C1268" s="37">
        <f t="shared" si="191"/>
        <v>41851</v>
      </c>
      <c r="D1268" s="37" t="s">
        <v>901</v>
      </c>
      <c r="E1268" s="191">
        <v>41851</v>
      </c>
      <c r="F1268" s="192" t="s">
        <v>1307</v>
      </c>
      <c r="G1268" s="40" t="s">
        <v>1271</v>
      </c>
      <c r="H1268" s="193"/>
      <c r="I1268" s="256"/>
      <c r="J1268" s="256"/>
      <c r="K1268" s="568">
        <v>44000</v>
      </c>
      <c r="L1268" s="39" t="s">
        <v>83</v>
      </c>
      <c r="M1268" s="39" t="s">
        <v>24</v>
      </c>
      <c r="N1268" s="52" t="str">
        <f>IF(AND('331-CT'!$E$7=TH!H1268,OR(L1268="331",M1268="331")),"331",IF(AND(OR(L1268="131",M1268="131"),H1268='131-CT'!$E$7),"131",""))</f>
        <v/>
      </c>
      <c r="O1268" s="89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>x</v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>x</v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15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84"/>
        <v>7</v>
      </c>
      <c r="C1269" s="37">
        <f t="shared" si="191"/>
        <v>41851</v>
      </c>
      <c r="D1269" s="37" t="s">
        <v>894</v>
      </c>
      <c r="E1269" s="191">
        <v>41851</v>
      </c>
      <c r="F1269" s="192" t="s">
        <v>897</v>
      </c>
      <c r="G1269" s="40" t="s">
        <v>1271</v>
      </c>
      <c r="H1269" s="7"/>
      <c r="I1269" s="256"/>
      <c r="J1269" s="256"/>
      <c r="K1269" s="568">
        <v>600</v>
      </c>
      <c r="L1269" s="39" t="s">
        <v>24</v>
      </c>
      <c r="M1269" s="39" t="s">
        <v>40</v>
      </c>
      <c r="N1269" s="52" t="str">
        <f>IF(AND('331-CT'!$E$7=TH!H1269,OR(L1269="331",M1269="331")),"331",IF(AND(OR(L1269="131",M1269="131"),H1269='131-CT'!$E$7),"131",""))</f>
        <v/>
      </c>
      <c r="O1269" s="89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>x</v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15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84"/>
        <v>8</v>
      </c>
      <c r="C1270" s="37">
        <f t="shared" si="191"/>
        <v>41877</v>
      </c>
      <c r="D1270" s="37" t="s">
        <v>894</v>
      </c>
      <c r="E1270" s="191">
        <v>41877</v>
      </c>
      <c r="F1270" s="192" t="s">
        <v>1273</v>
      </c>
      <c r="G1270" s="40" t="s">
        <v>1271</v>
      </c>
      <c r="H1270" s="193" t="s">
        <v>1303</v>
      </c>
      <c r="I1270" s="256"/>
      <c r="J1270" s="256"/>
      <c r="K1270" s="568">
        <v>12780000</v>
      </c>
      <c r="L1270" s="39" t="s">
        <v>24</v>
      </c>
      <c r="M1270" s="194" t="s">
        <v>47</v>
      </c>
      <c r="N1270" s="52" t="str">
        <f>IF(AND('331-CT'!$E$7=TH!H1270,OR(L1270="331",M1270="331")),"331",IF(AND(OR(L1270="131",M1270="131"),H1270='131-CT'!$E$7),"131",""))</f>
        <v/>
      </c>
      <c r="O1270" s="896" t="str">
        <f>IF(AND('341-CT'!$E$9=H1270,OR(LEFT(L1270,3)=$O$7,LEFT(M1270,3)=$O$7)),"x","")</f>
        <v/>
      </c>
      <c r="P1270" s="52" t="str">
        <f>IF(AND($B1270&gt;='111'!$N$11,$B1270&lt;='111'!$O$11,OR($L1270=$P$7,$M1270=$P$7)),"x","")</f>
        <v>x</v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>x</v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15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84"/>
        <v>8</v>
      </c>
      <c r="C1271" s="37">
        <f t="shared" si="191"/>
        <v>41877</v>
      </c>
      <c r="D1271" s="37" t="s">
        <v>901</v>
      </c>
      <c r="E1271" s="191">
        <v>41877</v>
      </c>
      <c r="F1271" s="192" t="s">
        <v>1304</v>
      </c>
      <c r="G1271" s="40" t="s">
        <v>1271</v>
      </c>
      <c r="H1271" s="7" t="s">
        <v>1302</v>
      </c>
      <c r="I1271" s="257"/>
      <c r="J1271" s="257"/>
      <c r="K1271" s="568">
        <v>976017</v>
      </c>
      <c r="L1271" s="39" t="s">
        <v>81</v>
      </c>
      <c r="M1271" s="194" t="s">
        <v>24</v>
      </c>
      <c r="N1271" s="52" t="str">
        <f>IF(AND('331-CT'!$E$7=TH!H1271,OR(L1271="331",M1271="331")),"331",IF(AND(OR(L1271="131",M1271="131"),H1271='131-CT'!$E$7),"131",""))</f>
        <v/>
      </c>
      <c r="O1271" s="89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>x</v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15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84"/>
        <v>8</v>
      </c>
      <c r="C1272" s="37">
        <f t="shared" si="191"/>
        <v>41877</v>
      </c>
      <c r="D1272" s="37" t="s">
        <v>901</v>
      </c>
      <c r="E1272" s="191">
        <v>41877</v>
      </c>
      <c r="F1272" s="192" t="s">
        <v>1304</v>
      </c>
      <c r="G1272" s="40" t="s">
        <v>1271</v>
      </c>
      <c r="H1272" s="7" t="s">
        <v>1292</v>
      </c>
      <c r="I1272" s="256"/>
      <c r="J1272" s="256"/>
      <c r="K1272" s="568">
        <v>1039792</v>
      </c>
      <c r="L1272" s="39" t="s">
        <v>81</v>
      </c>
      <c r="M1272" s="194" t="s">
        <v>24</v>
      </c>
      <c r="N1272" s="52" t="str">
        <f>IF(AND('331-CT'!$E$7=TH!H1272,OR(L1272="331",M1272="331")),"331",IF(AND(OR(L1272="131",M1272="131"),H1272='131-CT'!$E$7),"131",""))</f>
        <v/>
      </c>
      <c r="O1272" s="89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>x</v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15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84"/>
        <v>8</v>
      </c>
      <c r="C1273" s="37">
        <f t="shared" si="191"/>
        <v>41877</v>
      </c>
      <c r="D1273" s="37" t="s">
        <v>901</v>
      </c>
      <c r="E1273" s="191">
        <v>41877</v>
      </c>
      <c r="F1273" s="192" t="s">
        <v>1304</v>
      </c>
      <c r="G1273" s="40" t="s">
        <v>1271</v>
      </c>
      <c r="H1273" s="7" t="s">
        <v>1305</v>
      </c>
      <c r="I1273" s="257"/>
      <c r="J1273" s="257"/>
      <c r="K1273" s="568">
        <v>10763889</v>
      </c>
      <c r="L1273" s="39" t="s">
        <v>81</v>
      </c>
      <c r="M1273" s="194" t="s">
        <v>24</v>
      </c>
      <c r="N1273" s="52" t="str">
        <f>IF(AND('331-CT'!$E$7=TH!H1273,OR(L1273="331",M1273="331")),"331",IF(AND(OR(L1273="131",M1273="131"),H1273='131-CT'!$E$7),"131",""))</f>
        <v/>
      </c>
      <c r="O1273" s="89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>x</v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15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84"/>
        <v>8</v>
      </c>
      <c r="C1274" s="37">
        <f t="shared" si="191"/>
        <v>41880</v>
      </c>
      <c r="D1274" s="37" t="s">
        <v>894</v>
      </c>
      <c r="E1274" s="191">
        <v>41880</v>
      </c>
      <c r="F1274" s="192" t="s">
        <v>897</v>
      </c>
      <c r="G1274" s="40" t="s">
        <v>1271</v>
      </c>
      <c r="H1274" s="7"/>
      <c r="I1274" s="256"/>
      <c r="J1274" s="256"/>
      <c r="K1274" s="568">
        <v>600</v>
      </c>
      <c r="L1274" s="39" t="s">
        <v>24</v>
      </c>
      <c r="M1274" s="39" t="s">
        <v>40</v>
      </c>
      <c r="N1274" s="52" t="str">
        <f>IF(AND('331-CT'!$E$7=TH!H1274,OR(L1274="331",M1274="331")),"331",IF(AND(OR(L1274="131",M1274="131"),H1274='131-CT'!$E$7),"131",""))</f>
        <v/>
      </c>
      <c r="O1274" s="89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>x</v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15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84"/>
        <v>9</v>
      </c>
      <c r="C1275" s="37">
        <f t="shared" ref="C1275" si="194">E1275</f>
        <v>41891</v>
      </c>
      <c r="D1275" s="37" t="s">
        <v>901</v>
      </c>
      <c r="E1275" s="191">
        <v>41891</v>
      </c>
      <c r="F1275" s="192" t="s">
        <v>1321</v>
      </c>
      <c r="G1275" s="40" t="s">
        <v>1271</v>
      </c>
      <c r="H1275" s="7" t="s">
        <v>1309</v>
      </c>
      <c r="I1275" s="256"/>
      <c r="J1275" s="256"/>
      <c r="K1275" s="568">
        <v>99560000</v>
      </c>
      <c r="L1275" s="39" t="s">
        <v>24</v>
      </c>
      <c r="M1275" s="39" t="s">
        <v>1277</v>
      </c>
      <c r="N1275" s="52" t="str">
        <f>IF(AND('331-CT'!$E$7=TH!H1275,OR(L1275="331",M1275="331")),"331",IF(AND(OR(L1275="131",M1275="131"),H1275='131-CT'!$E$7),"131",""))</f>
        <v/>
      </c>
      <c r="O1275" s="89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>x</v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15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195">IF(C1276&lt;&gt;"",MONTH(C1276),"")</f>
        <v>9</v>
      </c>
      <c r="C1276" s="37">
        <f t="shared" ref="C1276" si="196">E1276</f>
        <v>41891</v>
      </c>
      <c r="D1276" s="37" t="s">
        <v>901</v>
      </c>
      <c r="E1276" s="191">
        <v>41891</v>
      </c>
      <c r="F1276" s="189" t="s">
        <v>895</v>
      </c>
      <c r="G1276" s="40" t="s">
        <v>1271</v>
      </c>
      <c r="H1276" s="850" t="s">
        <v>1082</v>
      </c>
      <c r="I1276" s="256"/>
      <c r="J1276" s="256"/>
      <c r="K1276" s="568">
        <v>99560000</v>
      </c>
      <c r="L1276" s="39" t="s">
        <v>8</v>
      </c>
      <c r="M1276" s="39" t="s">
        <v>24</v>
      </c>
      <c r="N1276" s="52" t="str">
        <f>IF(AND('331-CT'!$E$7=TH!H1276,OR(L1276="331",M1276="331")),"331",IF(AND(OR(L1276="131",M1276="131"),H1276='131-CT'!$E$7),"131",""))</f>
        <v/>
      </c>
      <c r="O1276" s="89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>x</v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15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84"/>
        <v>9</v>
      </c>
      <c r="C1277" s="37">
        <f t="shared" si="191"/>
        <v>41908</v>
      </c>
      <c r="D1277" s="37" t="s">
        <v>894</v>
      </c>
      <c r="E1277" s="191">
        <v>41908</v>
      </c>
      <c r="F1277" s="192" t="s">
        <v>1273</v>
      </c>
      <c r="G1277" s="40" t="s">
        <v>1271</v>
      </c>
      <c r="H1277" s="193" t="s">
        <v>1303</v>
      </c>
      <c r="I1277" s="256"/>
      <c r="J1277" s="256"/>
      <c r="K1277" s="568">
        <v>2780000</v>
      </c>
      <c r="L1277" s="39" t="s">
        <v>24</v>
      </c>
      <c r="M1277" s="194" t="s">
        <v>47</v>
      </c>
      <c r="N1277" s="52" t="str">
        <f>IF(AND('331-CT'!$E$7=TH!H1277,OR(L1277="331",M1277="331")),"331",IF(AND(OR(L1277="131",M1277="131"),H1277='131-CT'!$E$7),"131",""))</f>
        <v/>
      </c>
      <c r="O1277" s="896" t="str">
        <f>IF(AND('341-CT'!$E$9=H1277,OR(LEFT(L1277,3)=$O$7,LEFT(M1277,3)=$O$7)),"x","")</f>
        <v/>
      </c>
      <c r="P1277" s="52" t="str">
        <f>IF(AND($B1277&gt;='111'!$N$11,$B1277&lt;='111'!$O$11,OR($L1277=$P$7,$M1277=$P$7)),"x","")</f>
        <v>x</v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>x</v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15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84"/>
        <v>9</v>
      </c>
      <c r="C1278" s="37">
        <f t="shared" si="191"/>
        <v>41908</v>
      </c>
      <c r="D1278" s="37" t="s">
        <v>894</v>
      </c>
      <c r="E1278" s="191">
        <v>41908</v>
      </c>
      <c r="F1278" s="192" t="s">
        <v>1273</v>
      </c>
      <c r="G1278" s="40" t="s">
        <v>1271</v>
      </c>
      <c r="H1278" s="193" t="s">
        <v>1308</v>
      </c>
      <c r="I1278" s="256"/>
      <c r="J1278" s="256"/>
      <c r="K1278" s="568">
        <v>10000000</v>
      </c>
      <c r="L1278" s="39" t="s">
        <v>24</v>
      </c>
      <c r="M1278" s="194" t="s">
        <v>47</v>
      </c>
      <c r="N1278" s="52" t="str">
        <f>IF(AND('331-CT'!$E$7=TH!H1278,OR(L1278="331",M1278="331")),"331",IF(AND(OR(L1278="131",M1278="131"),H1278='131-CT'!$E$7),"131",""))</f>
        <v/>
      </c>
      <c r="O1278" s="896" t="str">
        <f>IF(AND('341-CT'!$E$9=H1278,OR(LEFT(L1278,3)=$O$7,LEFT(M1278,3)=$O$7)),"x","")</f>
        <v/>
      </c>
      <c r="P1278" s="52" t="str">
        <f>IF(AND($B1278&gt;='111'!$N$11,$B1278&lt;='111'!$O$11,OR($L1278=$P$7,$M1278=$P$7)),"x","")</f>
        <v>x</v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>x</v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15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84"/>
        <v>9</v>
      </c>
      <c r="C1279" s="37">
        <f t="shared" si="191"/>
        <v>41908</v>
      </c>
      <c r="D1279" s="37" t="s">
        <v>901</v>
      </c>
      <c r="E1279" s="191">
        <v>41908</v>
      </c>
      <c r="F1279" s="192" t="s">
        <v>1304</v>
      </c>
      <c r="G1279" s="40" t="s">
        <v>1271</v>
      </c>
      <c r="H1279" s="7" t="s">
        <v>1302</v>
      </c>
      <c r="I1279" s="257"/>
      <c r="J1279" s="257"/>
      <c r="K1279" s="568">
        <v>976017</v>
      </c>
      <c r="L1279" s="39" t="s">
        <v>81</v>
      </c>
      <c r="M1279" s="194" t="s">
        <v>24</v>
      </c>
      <c r="N1279" s="52" t="str">
        <f>IF(AND('331-CT'!$E$7=TH!H1279,OR(L1279="331",M1279="331")),"331",IF(AND(OR(L1279="131",M1279="131"),H1279='131-CT'!$E$7),"131",""))</f>
        <v/>
      </c>
      <c r="O1279" s="89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>x</v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15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84"/>
        <v>9</v>
      </c>
      <c r="C1280" s="37">
        <f t="shared" si="191"/>
        <v>41908</v>
      </c>
      <c r="D1280" s="37" t="s">
        <v>901</v>
      </c>
      <c r="E1280" s="191">
        <v>41908</v>
      </c>
      <c r="F1280" s="192" t="s">
        <v>1304</v>
      </c>
      <c r="G1280" s="40" t="s">
        <v>1271</v>
      </c>
      <c r="H1280" s="7" t="s">
        <v>1292</v>
      </c>
      <c r="I1280" s="256"/>
      <c r="J1280" s="256"/>
      <c r="K1280" s="568">
        <v>1039792</v>
      </c>
      <c r="L1280" s="39" t="s">
        <v>81</v>
      </c>
      <c r="M1280" s="194" t="s">
        <v>24</v>
      </c>
      <c r="N1280" s="52" t="str">
        <f>IF(AND('331-CT'!$E$7=TH!H1280,OR(L1280="331",M1280="331")),"331",IF(AND(OR(L1280="131",M1280="131"),H1280='131-CT'!$E$7),"131",""))</f>
        <v/>
      </c>
      <c r="O1280" s="89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>x</v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15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84"/>
        <v>9</v>
      </c>
      <c r="C1281" s="37">
        <f t="shared" si="191"/>
        <v>41908</v>
      </c>
      <c r="D1281" s="37" t="s">
        <v>901</v>
      </c>
      <c r="E1281" s="191">
        <v>41908</v>
      </c>
      <c r="F1281" s="192" t="s">
        <v>1304</v>
      </c>
      <c r="G1281" s="40" t="s">
        <v>1271</v>
      </c>
      <c r="H1281" s="7" t="s">
        <v>1305</v>
      </c>
      <c r="I1281" s="257"/>
      <c r="J1281" s="257"/>
      <c r="K1281" s="568">
        <v>10763889</v>
      </c>
      <c r="L1281" s="39" t="s">
        <v>81</v>
      </c>
      <c r="M1281" s="194" t="s">
        <v>24</v>
      </c>
      <c r="N1281" s="52" t="str">
        <f>IF(AND('331-CT'!$E$7=TH!H1281,OR(L1281="331",M1281="331")),"331",IF(AND(OR(L1281="131",M1281="131"),H1281='131-CT'!$E$7),"131",""))</f>
        <v/>
      </c>
      <c r="O1281" s="89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>x</v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15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84"/>
        <v>9</v>
      </c>
      <c r="C1282" s="37">
        <f t="shared" si="191"/>
        <v>41912</v>
      </c>
      <c r="D1282" s="37" t="s">
        <v>894</v>
      </c>
      <c r="E1282" s="191">
        <v>41912</v>
      </c>
      <c r="F1282" s="192" t="s">
        <v>897</v>
      </c>
      <c r="G1282" s="40" t="s">
        <v>1271</v>
      </c>
      <c r="H1282" s="7"/>
      <c r="I1282" s="256"/>
      <c r="J1282" s="256"/>
      <c r="K1282" s="568">
        <v>700</v>
      </c>
      <c r="L1282" s="39" t="s">
        <v>24</v>
      </c>
      <c r="M1282" s="39" t="s">
        <v>40</v>
      </c>
      <c r="N1282" s="52" t="str">
        <f>IF(AND('331-CT'!$E$7=TH!H1282,OR(L1282="331",M1282="331")),"331",IF(AND(OR(L1282="131",M1282="131"),H1282='131-CT'!$E$7),"131",""))</f>
        <v/>
      </c>
      <c r="O1282" s="89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>x</v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15"/>
    </row>
    <row r="1283" spans="1:28" s="211" customFormat="1" ht="15.75" customHeight="1">
      <c r="A1283" s="204" t="str">
        <f>IF(B1283&lt;&gt;"",IF(AND(B1283&gt;=_TM1,B1283&lt;=_TM2,OR(TH!L1283="1111",TH!M1283="1111")),TH!D1283,""),"")</f>
        <v>GBC</v>
      </c>
      <c r="B1283" s="36">
        <f t="shared" si="184"/>
        <v>10</v>
      </c>
      <c r="C1283" s="37">
        <f t="shared" si="191"/>
        <v>41939</v>
      </c>
      <c r="D1283" s="37" t="s">
        <v>894</v>
      </c>
      <c r="E1283" s="191">
        <v>41939</v>
      </c>
      <c r="F1283" s="192" t="s">
        <v>1273</v>
      </c>
      <c r="G1283" s="40" t="s">
        <v>1271</v>
      </c>
      <c r="H1283" s="193" t="s">
        <v>1303</v>
      </c>
      <c r="I1283" s="256"/>
      <c r="J1283" s="256"/>
      <c r="K1283" s="568">
        <v>13989447</v>
      </c>
      <c r="L1283" s="39" t="s">
        <v>24</v>
      </c>
      <c r="M1283" s="194" t="s">
        <v>47</v>
      </c>
      <c r="N1283" s="52" t="str">
        <f>IF(AND('331-CT'!$E$7=TH!H1283,OR(L1283="331",M1283="331")),"331",IF(AND(OR(L1283="131",M1283="131"),H1283='131-CT'!$E$7),"131",""))</f>
        <v/>
      </c>
      <c r="O1283" s="89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15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84"/>
        <v>10</v>
      </c>
      <c r="C1284" s="37">
        <f t="shared" si="191"/>
        <v>41940</v>
      </c>
      <c r="D1284" s="37" t="s">
        <v>901</v>
      </c>
      <c r="E1284" s="191">
        <v>41940</v>
      </c>
      <c r="F1284" s="192" t="s">
        <v>1304</v>
      </c>
      <c r="G1284" s="40" t="s">
        <v>1271</v>
      </c>
      <c r="H1284" s="7" t="s">
        <v>1302</v>
      </c>
      <c r="I1284" s="257"/>
      <c r="J1284" s="257"/>
      <c r="K1284" s="568">
        <v>944533</v>
      </c>
      <c r="L1284" s="39" t="s">
        <v>81</v>
      </c>
      <c r="M1284" s="194" t="s">
        <v>24</v>
      </c>
      <c r="N1284" s="52" t="str">
        <f>IF(AND('331-CT'!$E$7=TH!H1284,OR(L1284="331",M1284="331")),"331",IF(AND(OR(L1284="131",M1284="131"),H1284='131-CT'!$E$7),"131",""))</f>
        <v/>
      </c>
      <c r="O1284" s="89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15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84"/>
        <v>10</v>
      </c>
      <c r="C1285" s="37">
        <f t="shared" si="191"/>
        <v>41940</v>
      </c>
      <c r="D1285" s="37" t="s">
        <v>901</v>
      </c>
      <c r="E1285" s="191">
        <v>41940</v>
      </c>
      <c r="F1285" s="192" t="s">
        <v>1304</v>
      </c>
      <c r="G1285" s="40" t="s">
        <v>1271</v>
      </c>
      <c r="H1285" s="7" t="s">
        <v>1292</v>
      </c>
      <c r="I1285" s="256"/>
      <c r="J1285" s="256"/>
      <c r="K1285" s="568">
        <v>1006250</v>
      </c>
      <c r="L1285" s="39" t="s">
        <v>81</v>
      </c>
      <c r="M1285" s="194" t="s">
        <v>24</v>
      </c>
      <c r="N1285" s="52" t="str">
        <f>IF(AND('331-CT'!$E$7=TH!H1285,OR(L1285="331",M1285="331")),"331",IF(AND(OR(L1285="131",M1285="131"),H1285='131-CT'!$E$7),"131",""))</f>
        <v/>
      </c>
      <c r="O1285" s="89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15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84"/>
        <v>10</v>
      </c>
      <c r="C1286" s="37">
        <f t="shared" si="191"/>
        <v>41940</v>
      </c>
      <c r="D1286" s="37" t="s">
        <v>901</v>
      </c>
      <c r="E1286" s="191">
        <v>41940</v>
      </c>
      <c r="F1286" s="192" t="s">
        <v>1304</v>
      </c>
      <c r="G1286" s="40" t="s">
        <v>1271</v>
      </c>
      <c r="H1286" s="7" t="s">
        <v>1305</v>
      </c>
      <c r="I1286" s="257"/>
      <c r="J1286" s="257"/>
      <c r="K1286" s="568">
        <v>10416666</v>
      </c>
      <c r="L1286" s="39" t="s">
        <v>81</v>
      </c>
      <c r="M1286" s="194" t="s">
        <v>24</v>
      </c>
      <c r="N1286" s="52" t="str">
        <f>IF(AND('331-CT'!$E$7=TH!H1286,OR(L1286="331",M1286="331")),"331",IF(AND(OR(L1286="131",M1286="131"),H1286='131-CT'!$E$7),"131",""))</f>
        <v/>
      </c>
      <c r="O1286" s="89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15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ref="B1287:B1336" si="197">IF(C1287&lt;&gt;"",MONTH(C1287),"")</f>
        <v>10</v>
      </c>
      <c r="C1287" s="37">
        <f t="shared" si="191"/>
        <v>41940</v>
      </c>
      <c r="D1287" s="37" t="s">
        <v>901</v>
      </c>
      <c r="E1287" s="191">
        <v>41940</v>
      </c>
      <c r="F1287" s="192" t="s">
        <v>1304</v>
      </c>
      <c r="G1287" s="40" t="s">
        <v>1271</v>
      </c>
      <c r="H1287" s="7" t="s">
        <v>1309</v>
      </c>
      <c r="I1287" s="256"/>
      <c r="J1287" s="256"/>
      <c r="K1287" s="568">
        <v>1621998</v>
      </c>
      <c r="L1287" s="39" t="s">
        <v>81</v>
      </c>
      <c r="M1287" s="194" t="s">
        <v>24</v>
      </c>
      <c r="N1287" s="52" t="str">
        <f>IF(AND('331-CT'!$E$7=TH!H1287,OR(L1287="331",M1287="331")),"331",IF(AND(OR(L1287="131",M1287="131"),H1287='131-CT'!$E$7),"131",""))</f>
        <v/>
      </c>
      <c r="O1287" s="89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15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97"/>
        <v>10</v>
      </c>
      <c r="C1288" s="37">
        <f t="shared" si="191"/>
        <v>41943</v>
      </c>
      <c r="D1288" s="37" t="s">
        <v>894</v>
      </c>
      <c r="E1288" s="191">
        <v>41943</v>
      </c>
      <c r="F1288" s="192" t="s">
        <v>897</v>
      </c>
      <c r="G1288" s="40" t="s">
        <v>1271</v>
      </c>
      <c r="H1288" s="7"/>
      <c r="I1288" s="256"/>
      <c r="J1288" s="256"/>
      <c r="K1288" s="568">
        <v>800</v>
      </c>
      <c r="L1288" s="39" t="s">
        <v>24</v>
      </c>
      <c r="M1288" s="39" t="s">
        <v>40</v>
      </c>
      <c r="N1288" s="52" t="str">
        <f>IF(AND('331-CT'!$E$7=TH!H1288,OR(L1288="331",M1288="331")),"331",IF(AND(OR(L1288="131",M1288="131"),H1288='131-CT'!$E$7),"131",""))</f>
        <v/>
      </c>
      <c r="O1288" s="89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15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97"/>
        <v>11</v>
      </c>
      <c r="C1289" s="37">
        <f t="shared" si="191"/>
        <v>41962</v>
      </c>
      <c r="D1289" s="37" t="s">
        <v>894</v>
      </c>
      <c r="E1289" s="191">
        <v>41962</v>
      </c>
      <c r="F1289" s="192" t="s">
        <v>897</v>
      </c>
      <c r="G1289" s="40" t="s">
        <v>1271</v>
      </c>
      <c r="H1289" s="7"/>
      <c r="I1289" s="256"/>
      <c r="J1289" s="256"/>
      <c r="K1289" s="568">
        <v>600</v>
      </c>
      <c r="L1289" s="39" t="s">
        <v>24</v>
      </c>
      <c r="M1289" s="39" t="s">
        <v>40</v>
      </c>
      <c r="N1289" s="52" t="str">
        <f>IF(AND('331-CT'!$E$7=TH!H1289,OR(L1289="331",M1289="331")),"331",IF(AND(OR(L1289="131",M1289="131"),H1289='131-CT'!$E$7),"131",""))</f>
        <v/>
      </c>
      <c r="O1289" s="89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15"/>
    </row>
    <row r="1290" spans="1:28" s="211" customFormat="1" ht="15.75" customHeight="1">
      <c r="A1290" s="204" t="str">
        <f>IF(B1290&lt;&gt;"",IF(AND(B1290&gt;=_TM1,B1290&lt;=_TM2,OR(TH!L1290="1111",TH!M1290="1111")),TH!D1290,""),"")</f>
        <v>GBC</v>
      </c>
      <c r="B1290" s="36">
        <f t="shared" si="197"/>
        <v>12</v>
      </c>
      <c r="C1290" s="37">
        <f t="shared" si="191"/>
        <v>41974</v>
      </c>
      <c r="D1290" s="37" t="s">
        <v>894</v>
      </c>
      <c r="E1290" s="191">
        <v>41974</v>
      </c>
      <c r="F1290" s="192" t="s">
        <v>1273</v>
      </c>
      <c r="G1290" s="40" t="s">
        <v>1271</v>
      </c>
      <c r="H1290" s="193" t="s">
        <v>1303</v>
      </c>
      <c r="I1290" s="256"/>
      <c r="J1290" s="256"/>
      <c r="K1290" s="568">
        <v>13765619</v>
      </c>
      <c r="L1290" s="39" t="s">
        <v>24</v>
      </c>
      <c r="M1290" s="194" t="s">
        <v>47</v>
      </c>
      <c r="N1290" s="52" t="str">
        <f>IF(AND('331-CT'!$E$7=TH!H1290,OR(L1290="331",M1290="331")),"331",IF(AND(OR(L1290="131",M1290="131"),H1290='131-CT'!$E$7),"131",""))</f>
        <v/>
      </c>
      <c r="O1290" s="89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15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97"/>
        <v>12</v>
      </c>
      <c r="C1291" s="37">
        <f t="shared" si="191"/>
        <v>41975</v>
      </c>
      <c r="D1291" s="37" t="s">
        <v>901</v>
      </c>
      <c r="E1291" s="191">
        <v>41975</v>
      </c>
      <c r="F1291" s="192" t="s">
        <v>1304</v>
      </c>
      <c r="G1291" s="40" t="s">
        <v>1271</v>
      </c>
      <c r="H1291" s="7" t="s">
        <v>1302</v>
      </c>
      <c r="I1291" s="257"/>
      <c r="J1291" s="257"/>
      <c r="K1291" s="568">
        <v>976017</v>
      </c>
      <c r="L1291" s="39" t="s">
        <v>81</v>
      </c>
      <c r="M1291" s="194" t="s">
        <v>24</v>
      </c>
      <c r="N1291" s="52" t="str">
        <f>IF(AND('331-CT'!$E$7=TH!H1291,OR(L1291="331",M1291="331")),"331",IF(AND(OR(L1291="131",M1291="131"),H1291='131-CT'!$E$7),"131",""))</f>
        <v/>
      </c>
      <c r="O1291" s="89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15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97"/>
        <v>12</v>
      </c>
      <c r="C1292" s="37">
        <f t="shared" si="191"/>
        <v>41975</v>
      </c>
      <c r="D1292" s="37" t="s">
        <v>901</v>
      </c>
      <c r="E1292" s="191">
        <v>41975</v>
      </c>
      <c r="F1292" s="192" t="s">
        <v>1304</v>
      </c>
      <c r="G1292" s="40" t="s">
        <v>1271</v>
      </c>
      <c r="H1292" s="7" t="s">
        <v>1292</v>
      </c>
      <c r="I1292" s="256"/>
      <c r="J1292" s="256"/>
      <c r="K1292" s="568">
        <v>1039792</v>
      </c>
      <c r="L1292" s="39" t="s">
        <v>81</v>
      </c>
      <c r="M1292" s="194" t="s">
        <v>24</v>
      </c>
      <c r="N1292" s="52" t="str">
        <f>IF(AND('331-CT'!$E$7=TH!H1292,OR(L1292="331",M1292="331")),"331",IF(AND(OR(L1292="131",M1292="131"),H1292='131-CT'!$E$7),"131",""))</f>
        <v/>
      </c>
      <c r="O1292" s="89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15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97"/>
        <v>12</v>
      </c>
      <c r="C1293" s="37">
        <f t="shared" si="191"/>
        <v>41975</v>
      </c>
      <c r="D1293" s="37" t="s">
        <v>901</v>
      </c>
      <c r="E1293" s="191">
        <v>41975</v>
      </c>
      <c r="F1293" s="192" t="s">
        <v>1304</v>
      </c>
      <c r="G1293" s="40" t="s">
        <v>1271</v>
      </c>
      <c r="H1293" s="7" t="s">
        <v>1305</v>
      </c>
      <c r="I1293" s="257"/>
      <c r="J1293" s="257"/>
      <c r="K1293" s="568">
        <v>10763889</v>
      </c>
      <c r="L1293" s="39" t="s">
        <v>81</v>
      </c>
      <c r="M1293" s="194" t="s">
        <v>24</v>
      </c>
      <c r="N1293" s="52" t="str">
        <f>IF(AND('331-CT'!$E$7=TH!H1293,OR(L1293="331",M1293="331")),"331",IF(AND(OR(L1293="131",M1293="131"),H1293='131-CT'!$E$7),"131",""))</f>
        <v/>
      </c>
      <c r="O1293" s="89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15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97"/>
        <v>12</v>
      </c>
      <c r="C1294" s="37">
        <f t="shared" si="191"/>
        <v>41975</v>
      </c>
      <c r="D1294" s="37" t="s">
        <v>901</v>
      </c>
      <c r="E1294" s="191">
        <v>41975</v>
      </c>
      <c r="F1294" s="192" t="s">
        <v>1304</v>
      </c>
      <c r="G1294" s="40" t="s">
        <v>1271</v>
      </c>
      <c r="H1294" s="7" t="s">
        <v>1309</v>
      </c>
      <c r="I1294" s="256"/>
      <c r="J1294" s="256"/>
      <c r="K1294" s="568">
        <v>985921</v>
      </c>
      <c r="L1294" s="39" t="s">
        <v>81</v>
      </c>
      <c r="M1294" s="194" t="s">
        <v>24</v>
      </c>
      <c r="N1294" s="52" t="str">
        <f>IF(AND('331-CT'!$E$7=TH!H1294,OR(L1294="331",M1294="331")),"331",IF(AND(OR(L1294="131",M1294="131"),H1294='131-CT'!$E$7),"131",""))</f>
        <v/>
      </c>
      <c r="O1294" s="89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15"/>
    </row>
    <row r="1295" spans="1:28" s="211" customFormat="1" ht="15.75" customHeight="1">
      <c r="A1295" s="204" t="str">
        <f>IF(B1295&lt;&gt;"",IF(AND(B1295&gt;=_TM1,B1295&lt;=_TM2,OR(TH!L1295="1111",TH!M1295="1111")),TH!D1295,""),"")</f>
        <v>GBC</v>
      </c>
      <c r="B1295" s="36">
        <f t="shared" si="197"/>
        <v>12</v>
      </c>
      <c r="C1295" s="37">
        <f t="shared" si="191"/>
        <v>41983</v>
      </c>
      <c r="D1295" s="37" t="s">
        <v>894</v>
      </c>
      <c r="E1295" s="191">
        <v>41983</v>
      </c>
      <c r="F1295" s="192" t="s">
        <v>1273</v>
      </c>
      <c r="G1295" s="40" t="s">
        <v>1271</v>
      </c>
      <c r="H1295" s="193" t="s">
        <v>1310</v>
      </c>
      <c r="I1295" s="256"/>
      <c r="J1295" s="256"/>
      <c r="K1295" s="568">
        <v>105700000</v>
      </c>
      <c r="L1295" s="39" t="s">
        <v>24</v>
      </c>
      <c r="M1295" s="194" t="s">
        <v>47</v>
      </c>
      <c r="N1295" s="52" t="str">
        <f>IF(AND('331-CT'!$E$7=TH!H1295,OR(L1295="331",M1295="331")),"331",IF(AND(OR(L1295="131",M1295="131"),H1295='131-CT'!$E$7),"131",""))</f>
        <v/>
      </c>
      <c r="O1295" s="89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15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97"/>
        <v>12</v>
      </c>
      <c r="C1296" s="37">
        <f t="shared" si="191"/>
        <v>41983</v>
      </c>
      <c r="D1296" s="37" t="s">
        <v>901</v>
      </c>
      <c r="E1296" s="191">
        <v>41983</v>
      </c>
      <c r="F1296" s="192" t="s">
        <v>1314</v>
      </c>
      <c r="G1296" s="40" t="s">
        <v>1271</v>
      </c>
      <c r="H1296" s="7" t="s">
        <v>1292</v>
      </c>
      <c r="I1296" s="257"/>
      <c r="J1296" s="257"/>
      <c r="K1296" s="568">
        <v>105000000</v>
      </c>
      <c r="L1296" s="39" t="s">
        <v>1277</v>
      </c>
      <c r="M1296" s="194" t="s">
        <v>24</v>
      </c>
      <c r="N1296" s="52" t="str">
        <f>IF(AND('331-CT'!$E$7=TH!H1296,OR(L1296="331",M1296="331")),"331",IF(AND(OR(L1296="131",M1296="131"),H1296='131-CT'!$E$7),"131",""))</f>
        <v/>
      </c>
      <c r="O1296" s="896" t="str">
        <f>IF(AND('341-CT'!$E$9=H1296,OR(LEFT(L1296,3)=$O$7,LEFT(M1296,3)=$O$7)),"x","")</f>
        <v>x</v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15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198">IF(C1297&lt;&gt;"",MONTH(C1297),"")</f>
        <v>12</v>
      </c>
      <c r="C1297" s="37">
        <f t="shared" ref="C1297" si="199">E1297</f>
        <v>41983</v>
      </c>
      <c r="D1297" s="37" t="s">
        <v>901</v>
      </c>
      <c r="E1297" s="191">
        <v>41983</v>
      </c>
      <c r="F1297" s="192" t="s">
        <v>1304</v>
      </c>
      <c r="G1297" s="40" t="s">
        <v>1271</v>
      </c>
      <c r="H1297" s="7" t="s">
        <v>1292</v>
      </c>
      <c r="I1297" s="257"/>
      <c r="J1297" s="257"/>
      <c r="K1297" s="568">
        <v>620521</v>
      </c>
      <c r="L1297" s="39" t="s">
        <v>81</v>
      </c>
      <c r="M1297" s="194" t="s">
        <v>24</v>
      </c>
      <c r="N1297" s="52" t="str">
        <f>IF(AND('331-CT'!$E$7=TH!H1297,OR(L1297="331",M1297="331")),"331",IF(AND(OR(L1297="131",M1297="131"),H1297='131-CT'!$E$7),"131",""))</f>
        <v/>
      </c>
      <c r="O1297" s="89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15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97"/>
        <v>12</v>
      </c>
      <c r="C1298" s="37">
        <f t="shared" si="191"/>
        <v>41983</v>
      </c>
      <c r="D1298" s="37" t="s">
        <v>894</v>
      </c>
      <c r="E1298" s="191">
        <v>41983</v>
      </c>
      <c r="F1298" s="7" t="s">
        <v>1312</v>
      </c>
      <c r="G1298" s="40" t="s">
        <v>1271</v>
      </c>
      <c r="H1298" s="7" t="s">
        <v>1311</v>
      </c>
      <c r="I1298" s="256"/>
      <c r="J1298" s="256"/>
      <c r="K1298" s="568">
        <v>99560000</v>
      </c>
      <c r="L1298" s="39" t="s">
        <v>24</v>
      </c>
      <c r="M1298" s="39" t="s">
        <v>1277</v>
      </c>
      <c r="N1298" s="52" t="str">
        <f>IF(AND('331-CT'!$E$7=TH!H1298,OR(L1298="331",M1298="331")),"331",IF(AND(OR(L1298="131",M1298="131"),H1298='131-CT'!$E$7),"131",""))</f>
        <v/>
      </c>
      <c r="O1298" s="89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15"/>
    </row>
    <row r="1299" spans="1:28" s="211" customFormat="1" ht="15.75" customHeight="1">
      <c r="A1299" s="204" t="str">
        <f>IF(B1299&lt;&gt;"",IF(AND(B1299&gt;=_TM1,B1299&lt;=_TM2,OR(TH!L1299="1111",TH!M1299="1111")),TH!D1299,""),"")</f>
        <v>GBN</v>
      </c>
      <c r="B1299" s="36">
        <f t="shared" si="197"/>
        <v>12</v>
      </c>
      <c r="C1299" s="37">
        <f t="shared" si="191"/>
        <v>41985</v>
      </c>
      <c r="D1299" s="37" t="s">
        <v>901</v>
      </c>
      <c r="E1299" s="191">
        <v>41985</v>
      </c>
      <c r="F1299" s="192" t="s">
        <v>1298</v>
      </c>
      <c r="G1299" s="40" t="s">
        <v>1271</v>
      </c>
      <c r="H1299" s="193" t="s">
        <v>1310</v>
      </c>
      <c r="I1299" s="256"/>
      <c r="J1299" s="256"/>
      <c r="K1299" s="568">
        <v>100000000</v>
      </c>
      <c r="L1299" s="39" t="s">
        <v>47</v>
      </c>
      <c r="M1299" s="194" t="s">
        <v>24</v>
      </c>
      <c r="N1299" s="52" t="str">
        <f>IF(AND('331-CT'!$E$7=TH!H1299,OR(L1299="331",M1299="331")),"331",IF(AND(OR(L1299="131",M1299="131"),H1299='131-CT'!$E$7),"131",""))</f>
        <v/>
      </c>
      <c r="O1299" s="89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15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97"/>
        <v>12</v>
      </c>
      <c r="C1300" s="37">
        <f t="shared" si="191"/>
        <v>41985</v>
      </c>
      <c r="D1300" s="37" t="s">
        <v>901</v>
      </c>
      <c r="E1300" s="191">
        <v>41985</v>
      </c>
      <c r="F1300" s="192" t="s">
        <v>1313</v>
      </c>
      <c r="G1300" s="40" t="s">
        <v>1271</v>
      </c>
      <c r="H1300" s="193"/>
      <c r="I1300" s="256"/>
      <c r="J1300" s="256"/>
      <c r="K1300" s="568">
        <v>11000</v>
      </c>
      <c r="L1300" s="39" t="s">
        <v>83</v>
      </c>
      <c r="M1300" s="194" t="s">
        <v>24</v>
      </c>
      <c r="N1300" s="52" t="str">
        <f>IF(AND('331-CT'!$E$7=TH!H1300,OR(L1300="331",M1300="331")),"331",IF(AND(OR(L1300="131",M1300="131"),H1300='131-CT'!$E$7),"131",""))</f>
        <v/>
      </c>
      <c r="O1300" s="89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15"/>
    </row>
    <row r="1301" spans="1:28" s="211" customFormat="1" ht="15.75" customHeight="1">
      <c r="A1301" s="204" t="str">
        <f>IF(B1301&lt;&gt;"",IF(AND(B1301&gt;=_TM1,B1301&lt;=_TM2,OR(TH!L1301="1111",TH!M1301="1111")),TH!D1301,""),"")</f>
        <v>GBC</v>
      </c>
      <c r="B1301" s="36">
        <f t="shared" si="197"/>
        <v>12</v>
      </c>
      <c r="C1301" s="37">
        <f t="shared" si="191"/>
        <v>41995</v>
      </c>
      <c r="D1301" s="37" t="s">
        <v>894</v>
      </c>
      <c r="E1301" s="191">
        <v>41995</v>
      </c>
      <c r="F1301" s="192" t="s">
        <v>1273</v>
      </c>
      <c r="G1301" s="40" t="s">
        <v>1271</v>
      </c>
      <c r="H1301" s="193" t="s">
        <v>1306</v>
      </c>
      <c r="I1301" s="256"/>
      <c r="J1301" s="256"/>
      <c r="K1301" s="568">
        <v>96000000</v>
      </c>
      <c r="L1301" s="39" t="s">
        <v>24</v>
      </c>
      <c r="M1301" s="194" t="s">
        <v>47</v>
      </c>
      <c r="N1301" s="52" t="str">
        <f>IF(AND('331-CT'!$E$7=TH!H1301,OR(L1301="331",M1301="331")),"331",IF(AND(OR(L1301="131",M1301="131"),H1301='131-CT'!$E$7),"131",""))</f>
        <v/>
      </c>
      <c r="O1301" s="89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15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97"/>
        <v>12</v>
      </c>
      <c r="C1302" s="37">
        <f t="shared" si="191"/>
        <v>41995</v>
      </c>
      <c r="D1302" s="37" t="s">
        <v>901</v>
      </c>
      <c r="E1302" s="191">
        <v>41995</v>
      </c>
      <c r="F1302" s="192" t="s">
        <v>1314</v>
      </c>
      <c r="G1302" s="40" t="s">
        <v>1271</v>
      </c>
      <c r="H1302" s="7" t="s">
        <v>1302</v>
      </c>
      <c r="I1302" s="256"/>
      <c r="J1302" s="256"/>
      <c r="K1302" s="568">
        <v>95986643</v>
      </c>
      <c r="L1302" s="39" t="s">
        <v>1277</v>
      </c>
      <c r="M1302" s="194" t="s">
        <v>24</v>
      </c>
      <c r="N1302" s="52" t="str">
        <f>IF(AND('331-CT'!$E$7=TH!H1302,OR(L1302="331",M1302="331")),"331",IF(AND(OR(L1302="131",M1302="131"),H1302='131-CT'!$E$7),"131",""))</f>
        <v/>
      </c>
      <c r="O1302" s="89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15"/>
    </row>
    <row r="1303" spans="1:28" s="211" customFormat="1" ht="15.75" customHeight="1">
      <c r="A1303" s="204" t="str">
        <f>IF(B1303&lt;&gt;"",IF(AND(B1303&gt;=_TM1,B1303&lt;=_TM2,OR(TH!L1303="1111",TH!M1303="1111")),TH!D1303,""),"")</f>
        <v>GBC</v>
      </c>
      <c r="B1303" s="36">
        <f t="shared" si="197"/>
        <v>12</v>
      </c>
      <c r="C1303" s="37">
        <f t="shared" si="191"/>
        <v>41996</v>
      </c>
      <c r="D1303" s="37" t="s">
        <v>894</v>
      </c>
      <c r="E1303" s="191">
        <v>41996</v>
      </c>
      <c r="F1303" s="192" t="s">
        <v>1273</v>
      </c>
      <c r="G1303" s="40" t="s">
        <v>1271</v>
      </c>
      <c r="H1303" s="193" t="s">
        <v>1315</v>
      </c>
      <c r="I1303" s="256"/>
      <c r="J1303" s="256"/>
      <c r="K1303" s="568">
        <v>4000000</v>
      </c>
      <c r="L1303" s="39" t="s">
        <v>24</v>
      </c>
      <c r="M1303" s="194" t="s">
        <v>47</v>
      </c>
      <c r="N1303" s="52" t="str">
        <f>IF(AND('331-CT'!$E$7=TH!H1303,OR(L1303="331",M1303="331")),"331",IF(AND(OR(L1303="131",M1303="131"),H1303='131-CT'!$E$7),"131",""))</f>
        <v/>
      </c>
      <c r="O1303" s="89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15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97"/>
        <v>12</v>
      </c>
      <c r="C1304" s="37">
        <f t="shared" si="191"/>
        <v>41996</v>
      </c>
      <c r="D1304" s="37" t="s">
        <v>901</v>
      </c>
      <c r="E1304" s="191">
        <v>41996</v>
      </c>
      <c r="F1304" s="192" t="s">
        <v>1314</v>
      </c>
      <c r="G1304" s="40" t="s">
        <v>1271</v>
      </c>
      <c r="H1304" s="7" t="s">
        <v>1302</v>
      </c>
      <c r="I1304" s="256"/>
      <c r="J1304" s="256"/>
      <c r="K1304" s="568">
        <v>2573357</v>
      </c>
      <c r="L1304" s="39" t="s">
        <v>1277</v>
      </c>
      <c r="M1304" s="194" t="s">
        <v>24</v>
      </c>
      <c r="N1304" s="52" t="str">
        <f>IF(AND('331-CT'!$E$7=TH!H1304,OR(L1304="331",M1304="331")),"331",IF(AND(OR(L1304="131",M1304="131"),H1304='131-CT'!$E$7),"131",""))</f>
        <v/>
      </c>
      <c r="O1304" s="89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15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97"/>
        <v>12</v>
      </c>
      <c r="C1305" s="37">
        <f t="shared" si="191"/>
        <v>41996</v>
      </c>
      <c r="D1305" s="37" t="s">
        <v>901</v>
      </c>
      <c r="E1305" s="191">
        <v>41996</v>
      </c>
      <c r="F1305" s="192" t="s">
        <v>1304</v>
      </c>
      <c r="G1305" s="40" t="s">
        <v>1271</v>
      </c>
      <c r="H1305" s="7" t="s">
        <v>1302</v>
      </c>
      <c r="I1305" s="257"/>
      <c r="J1305" s="257"/>
      <c r="K1305" s="568">
        <v>993466</v>
      </c>
      <c r="L1305" s="39" t="s">
        <v>81</v>
      </c>
      <c r="M1305" s="194" t="s">
        <v>24</v>
      </c>
      <c r="N1305" s="52" t="str">
        <f>IF(AND('331-CT'!$E$7=TH!H1305,OR(L1305="331",M1305="331")),"331",IF(AND(OR(L1305="131",M1305="131"),H1305='131-CT'!$E$7),"131",""))</f>
        <v/>
      </c>
      <c r="O1305" s="89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15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97"/>
        <v>12</v>
      </c>
      <c r="C1306" s="37">
        <f t="shared" si="191"/>
        <v>41997</v>
      </c>
      <c r="D1306" s="37" t="s">
        <v>894</v>
      </c>
      <c r="E1306" s="191">
        <v>41997</v>
      </c>
      <c r="F1306" s="7" t="s">
        <v>1316</v>
      </c>
      <c r="G1306" s="40" t="s">
        <v>1271</v>
      </c>
      <c r="H1306" s="7" t="s">
        <v>1317</v>
      </c>
      <c r="I1306" s="256"/>
      <c r="J1306" s="256"/>
      <c r="K1306" s="568">
        <v>99560000</v>
      </c>
      <c r="L1306" s="39" t="s">
        <v>24</v>
      </c>
      <c r="M1306" s="39" t="s">
        <v>1277</v>
      </c>
      <c r="N1306" s="52" t="str">
        <f>IF(AND('331-CT'!$E$7=TH!H1306,OR(L1306="331",M1306="331")),"331",IF(AND(OR(L1306="131",M1306="131"),H1306='131-CT'!$E$7),"131",""))</f>
        <v/>
      </c>
      <c r="O1306" s="89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15"/>
    </row>
    <row r="1307" spans="1:28" s="211" customFormat="1" ht="15.75" customHeight="1">
      <c r="A1307" s="204" t="str">
        <f>IF(B1307&lt;&gt;"",IF(AND(B1307&gt;=_TM1,B1307&lt;=_TM2,OR(TH!L1307="1111",TH!M1307="1111")),TH!D1307,""),"")</f>
        <v>GBN</v>
      </c>
      <c r="B1307" s="36">
        <f t="shared" si="197"/>
        <v>12</v>
      </c>
      <c r="C1307" s="37">
        <f t="shared" si="191"/>
        <v>41997</v>
      </c>
      <c r="D1307" s="37" t="s">
        <v>901</v>
      </c>
      <c r="E1307" s="191">
        <v>41997</v>
      </c>
      <c r="F1307" s="192" t="s">
        <v>1298</v>
      </c>
      <c r="G1307" s="40" t="s">
        <v>1271</v>
      </c>
      <c r="H1307" s="193" t="s">
        <v>1310</v>
      </c>
      <c r="I1307" s="256"/>
      <c r="J1307" s="256"/>
      <c r="K1307" s="568">
        <v>100000000</v>
      </c>
      <c r="L1307" s="39" t="s">
        <v>47</v>
      </c>
      <c r="M1307" s="194" t="s">
        <v>24</v>
      </c>
      <c r="N1307" s="52" t="str">
        <f>IF(AND('331-CT'!$E$7=TH!H1307,OR(L1307="331",M1307="331")),"331",IF(AND(OR(L1307="131",M1307="131"),H1307='131-CT'!$E$7),"131",""))</f>
        <v/>
      </c>
      <c r="O1307" s="89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15"/>
    </row>
    <row r="1308" spans="1:28" s="211" customFormat="1" ht="15.75" customHeight="1">
      <c r="A1308" s="204" t="str">
        <f>IF(B1308&lt;&gt;"",IF(AND(B1308&gt;=_TM1,B1308&lt;=_TM2,OR(TH!L1308="1111",TH!M1308="1111")),TH!D1308,""),"")</f>
        <v>GBC</v>
      </c>
      <c r="B1308" s="36">
        <f t="shared" si="197"/>
        <v>12</v>
      </c>
      <c r="C1308" s="37">
        <f t="shared" si="191"/>
        <v>42000</v>
      </c>
      <c r="D1308" s="37" t="s">
        <v>894</v>
      </c>
      <c r="E1308" s="191">
        <v>42000</v>
      </c>
      <c r="F1308" s="192" t="s">
        <v>1273</v>
      </c>
      <c r="G1308" s="40" t="s">
        <v>1271</v>
      </c>
      <c r="H1308" s="193" t="s">
        <v>1310</v>
      </c>
      <c r="I1308" s="256"/>
      <c r="J1308" s="256"/>
      <c r="K1308" s="568">
        <v>11380000</v>
      </c>
      <c r="L1308" s="39" t="s">
        <v>24</v>
      </c>
      <c r="M1308" s="194" t="s">
        <v>47</v>
      </c>
      <c r="N1308" s="52" t="str">
        <f>IF(AND('331-CT'!$E$7=TH!H1308,OR(L1308="331",M1308="331")),"331",IF(AND(OR(L1308="131",M1308="131"),H1308='131-CT'!$E$7),"131",""))</f>
        <v/>
      </c>
      <c r="O1308" s="89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15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97"/>
        <v>12</v>
      </c>
      <c r="C1309" s="37">
        <f t="shared" si="191"/>
        <v>42002</v>
      </c>
      <c r="D1309" s="37" t="s">
        <v>901</v>
      </c>
      <c r="E1309" s="191">
        <v>42002</v>
      </c>
      <c r="F1309" s="192" t="s">
        <v>1304</v>
      </c>
      <c r="G1309" s="40" t="s">
        <v>1271</v>
      </c>
      <c r="H1309" s="7" t="s">
        <v>1305</v>
      </c>
      <c r="I1309" s="257"/>
      <c r="J1309" s="257"/>
      <c r="K1309" s="568">
        <v>10416666</v>
      </c>
      <c r="L1309" s="39" t="s">
        <v>81</v>
      </c>
      <c r="M1309" s="194" t="s">
        <v>24</v>
      </c>
      <c r="N1309" s="52" t="str">
        <f>IF(AND('331-CT'!$E$7=TH!H1309,OR(L1309="331",M1309="331")),"331",IF(AND(OR(L1309="131",M1309="131"),H1309='131-CT'!$E$7),"131",""))</f>
        <v/>
      </c>
      <c r="O1309" s="89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15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97"/>
        <v>12</v>
      </c>
      <c r="C1310" s="37">
        <f t="shared" si="191"/>
        <v>42002</v>
      </c>
      <c r="D1310" s="37" t="s">
        <v>901</v>
      </c>
      <c r="E1310" s="191">
        <v>42002</v>
      </c>
      <c r="F1310" s="192" t="s">
        <v>1304</v>
      </c>
      <c r="G1310" s="40" t="s">
        <v>1271</v>
      </c>
      <c r="H1310" s="7" t="s">
        <v>1309</v>
      </c>
      <c r="I1310" s="256"/>
      <c r="J1310" s="256"/>
      <c r="K1310" s="568">
        <v>954117</v>
      </c>
      <c r="L1310" s="39" t="s">
        <v>81</v>
      </c>
      <c r="M1310" s="194" t="s">
        <v>24</v>
      </c>
      <c r="N1310" s="52" t="str">
        <f>IF(AND('331-CT'!$E$7=TH!H1310,OR(L1310="331",M1310="331")),"331",IF(AND(OR(L1310="131",M1310="131"),H1310='131-CT'!$E$7),"131",""))</f>
        <v/>
      </c>
      <c r="O1310" s="89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15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97"/>
        <v>12</v>
      </c>
      <c r="C1311" s="37">
        <f t="shared" si="191"/>
        <v>42002</v>
      </c>
      <c r="D1311" s="37" t="s">
        <v>894</v>
      </c>
      <c r="E1311" s="191">
        <v>42002</v>
      </c>
      <c r="F1311" s="7" t="s">
        <v>1318</v>
      </c>
      <c r="G1311" s="40" t="s">
        <v>1271</v>
      </c>
      <c r="H1311" s="7" t="s">
        <v>1319</v>
      </c>
      <c r="I1311" s="256"/>
      <c r="J1311" s="256"/>
      <c r="K1311" s="568">
        <v>97900000</v>
      </c>
      <c r="L1311" s="39" t="s">
        <v>24</v>
      </c>
      <c r="M1311" s="39" t="s">
        <v>1277</v>
      </c>
      <c r="N1311" s="52" t="str">
        <f>IF(AND('331-CT'!$E$7=TH!H1311,OR(L1311="331",M1311="331")),"331",IF(AND(OR(L1311="131",M1311="131"),H1311='131-CT'!$E$7),"131",""))</f>
        <v/>
      </c>
      <c r="O1311" s="89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15"/>
    </row>
    <row r="1312" spans="1:28" s="211" customFormat="1" ht="15.75" customHeight="1">
      <c r="A1312" s="204" t="str">
        <f>IF(B1312&lt;&gt;"",IF(AND(B1312&gt;=_TM1,B1312&lt;=_TM2,OR(TH!L1312="1111",TH!M1312="1111")),TH!D1312,""),"")</f>
        <v>GBN</v>
      </c>
      <c r="B1312" s="36">
        <f t="shared" si="197"/>
        <v>12</v>
      </c>
      <c r="C1312" s="37">
        <f t="shared" si="191"/>
        <v>42002</v>
      </c>
      <c r="D1312" s="37" t="s">
        <v>901</v>
      </c>
      <c r="E1312" s="191">
        <v>42002</v>
      </c>
      <c r="F1312" s="192" t="s">
        <v>1298</v>
      </c>
      <c r="G1312" s="40" t="s">
        <v>1271</v>
      </c>
      <c r="H1312" s="193" t="s">
        <v>1310</v>
      </c>
      <c r="I1312" s="256"/>
      <c r="J1312" s="256"/>
      <c r="K1312" s="568">
        <v>97000000</v>
      </c>
      <c r="L1312" s="39" t="s">
        <v>47</v>
      </c>
      <c r="M1312" s="194" t="s">
        <v>24</v>
      </c>
      <c r="N1312" s="52" t="str">
        <f>IF(AND('331-CT'!$E$7=TH!H1312,OR(L1312="331",M1312="331")),"331",IF(AND(OR(L1312="131",M1312="131"),H1312='131-CT'!$E$7),"131",""))</f>
        <v/>
      </c>
      <c r="O1312" s="89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15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97"/>
        <v>12</v>
      </c>
      <c r="C1313" s="37">
        <f t="shared" si="191"/>
        <v>42002</v>
      </c>
      <c r="D1313" s="37" t="s">
        <v>901</v>
      </c>
      <c r="E1313" s="191">
        <v>42002</v>
      </c>
      <c r="F1313" s="192" t="s">
        <v>1313</v>
      </c>
      <c r="G1313" s="40" t="s">
        <v>1271</v>
      </c>
      <c r="H1313" s="193"/>
      <c r="I1313" s="256"/>
      <c r="J1313" s="256"/>
      <c r="K1313" s="568">
        <v>11000</v>
      </c>
      <c r="L1313" s="39" t="s">
        <v>83</v>
      </c>
      <c r="M1313" s="194" t="s">
        <v>24</v>
      </c>
      <c r="N1313" s="52" t="str">
        <f>IF(AND('331-CT'!$E$7=TH!H1313,OR(L1313="331",M1313="331")),"331",IF(AND(OR(L1313="131",M1313="131"),H1313='131-CT'!$E$7),"131",""))</f>
        <v/>
      </c>
      <c r="O1313" s="89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>x</v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15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97"/>
        <v>12</v>
      </c>
      <c r="C1314" s="37">
        <f t="shared" si="191"/>
        <v>42002</v>
      </c>
      <c r="D1314" s="37" t="s">
        <v>894</v>
      </c>
      <c r="E1314" s="191">
        <v>42002</v>
      </c>
      <c r="F1314" s="192" t="s">
        <v>897</v>
      </c>
      <c r="G1314" s="40" t="s">
        <v>1271</v>
      </c>
      <c r="H1314" s="7"/>
      <c r="I1314" s="256"/>
      <c r="J1314" s="256"/>
      <c r="K1314" s="568">
        <v>1000</v>
      </c>
      <c r="L1314" s="39" t="s">
        <v>24</v>
      </c>
      <c r="M1314" s="39" t="s">
        <v>40</v>
      </c>
      <c r="N1314" s="52" t="str">
        <f>IF(AND('331-CT'!$E$7=TH!H1314,OR(L1314="331",M1314="331")),"331",IF(AND(OR(L1314="131",M1314="131"),H1314='131-CT'!$E$7),"131",""))</f>
        <v/>
      </c>
      <c r="O1314" s="89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15"/>
    </row>
    <row r="1315" spans="1:28" s="917" customFormat="1" ht="15.75" customHeight="1">
      <c r="A1315" s="912" t="str">
        <f>IF(B1315&lt;&gt;"",IF(AND(B1315&gt;=_TM1,B1315&lt;=_TM2,OR(TH!L1315="1111",TH!M1315="1111")),TH!D1315,""),"")</f>
        <v/>
      </c>
      <c r="B1315" s="913">
        <f t="shared" si="197"/>
        <v>1</v>
      </c>
      <c r="C1315" s="48">
        <f t="shared" si="191"/>
        <v>41641</v>
      </c>
      <c r="D1315" s="48" t="s">
        <v>1381</v>
      </c>
      <c r="E1315" s="914">
        <v>41641</v>
      </c>
      <c r="F1315" s="915" t="s">
        <v>330</v>
      </c>
      <c r="G1315" s="49"/>
      <c r="H1315" s="919" t="s">
        <v>1370</v>
      </c>
      <c r="I1315" s="254">
        <v>24</v>
      </c>
      <c r="J1315" s="254">
        <v>41000</v>
      </c>
      <c r="K1315" s="916">
        <f t="shared" ref="K1315" si="200">ROUND(I1315*J1315,0)</f>
        <v>984000</v>
      </c>
      <c r="L1315" s="52" t="s">
        <v>167</v>
      </c>
      <c r="M1315" s="52" t="s">
        <v>161</v>
      </c>
      <c r="N1315" s="52" t="str">
        <f>IF(AND('331-CT'!$E$7=TH!H1315,OR(L1315="331",M1315="331")),"331",IF(AND(OR(L1315="131",M1315="131"),H1315='131-CT'!$E$7),"131",""))</f>
        <v/>
      </c>
      <c r="O1315" s="89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789"/>
    </row>
    <row r="1316" spans="1:28" s="917" customFormat="1" ht="15.75" customHeight="1">
      <c r="A1316" s="912" t="str">
        <f>IF(B1316&lt;&gt;"",IF(AND(B1316&gt;=_TM1,B1316&lt;=_TM2,OR(TH!L1316="1111",TH!M1316="1111")),TH!D1316,""),"")</f>
        <v/>
      </c>
      <c r="B1316" s="913">
        <f t="shared" si="197"/>
        <v>1</v>
      </c>
      <c r="C1316" s="48">
        <f t="shared" si="191"/>
        <v>41641</v>
      </c>
      <c r="D1316" s="48" t="s">
        <v>1381</v>
      </c>
      <c r="E1316" s="914">
        <v>41641</v>
      </c>
      <c r="F1316" s="915" t="s">
        <v>1327</v>
      </c>
      <c r="G1316" s="49"/>
      <c r="H1316" s="919" t="s">
        <v>1370</v>
      </c>
      <c r="I1316" s="254">
        <v>50</v>
      </c>
      <c r="J1316" s="254">
        <v>17500</v>
      </c>
      <c r="K1316" s="916">
        <f t="shared" ref="K1316:K1333" si="201">ROUND(I1316*J1316,0)</f>
        <v>875000</v>
      </c>
      <c r="L1316" s="52" t="s">
        <v>167</v>
      </c>
      <c r="M1316" s="52" t="s">
        <v>161</v>
      </c>
      <c r="N1316" s="52" t="str">
        <f>IF(AND('331-CT'!$E$7=TH!H1316,OR(L1316="331",M1316="331")),"331",IF(AND(OR(L1316="131",M1316="131"),H1316='131-CT'!$E$7),"131",""))</f>
        <v/>
      </c>
      <c r="O1316" s="89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789"/>
    </row>
    <row r="1317" spans="1:28" s="917" customFormat="1" ht="15.75" customHeight="1">
      <c r="A1317" s="912" t="str">
        <f>IF(B1317&lt;&gt;"",IF(AND(B1317&gt;=_TM1,B1317&lt;=_TM2,OR(TH!L1317="1111",TH!M1317="1111")),TH!D1317,""),"")</f>
        <v/>
      </c>
      <c r="B1317" s="913">
        <f t="shared" si="197"/>
        <v>4</v>
      </c>
      <c r="C1317" s="48">
        <f t="shared" si="191"/>
        <v>41734</v>
      </c>
      <c r="D1317" s="48" t="s">
        <v>1381</v>
      </c>
      <c r="E1317" s="914">
        <v>41734</v>
      </c>
      <c r="F1317" s="915" t="s">
        <v>1327</v>
      </c>
      <c r="G1317" s="49"/>
      <c r="H1317" s="919" t="s">
        <v>1370</v>
      </c>
      <c r="I1317" s="254">
        <v>50</v>
      </c>
      <c r="J1317" s="254">
        <v>17500</v>
      </c>
      <c r="K1317" s="916">
        <f t="shared" si="201"/>
        <v>875000</v>
      </c>
      <c r="L1317" s="52" t="s">
        <v>167</v>
      </c>
      <c r="M1317" s="52" t="s">
        <v>161</v>
      </c>
      <c r="N1317" s="52" t="str">
        <f>IF(AND('331-CT'!$E$7=TH!H1317,OR(L1317="331",M1317="331")),"331",IF(AND(OR(L1317="131",M1317="131"),H1317='131-CT'!$E$7),"131",""))</f>
        <v/>
      </c>
      <c r="O1317" s="89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>154</v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789"/>
    </row>
    <row r="1318" spans="1:28" s="917" customFormat="1" ht="15.75" customHeight="1">
      <c r="A1318" s="912" t="str">
        <f>IF(B1318&lt;&gt;"",IF(AND(B1318&gt;=_TM1,B1318&lt;=_TM2,OR(TH!L1318="1111",TH!M1318="1111")),TH!D1318,""),"")</f>
        <v/>
      </c>
      <c r="B1318" s="913">
        <f t="shared" si="197"/>
        <v>4</v>
      </c>
      <c r="C1318" s="48">
        <f t="shared" si="191"/>
        <v>41734</v>
      </c>
      <c r="D1318" s="48" t="s">
        <v>1381</v>
      </c>
      <c r="E1318" s="914">
        <v>41734</v>
      </c>
      <c r="F1318" s="915" t="s">
        <v>330</v>
      </c>
      <c r="G1318" s="49"/>
      <c r="H1318" s="919" t="s">
        <v>1370</v>
      </c>
      <c r="I1318" s="254">
        <v>24</v>
      </c>
      <c r="J1318" s="254">
        <v>41000</v>
      </c>
      <c r="K1318" s="916">
        <f t="shared" si="201"/>
        <v>984000</v>
      </c>
      <c r="L1318" s="52" t="s">
        <v>167</v>
      </c>
      <c r="M1318" s="52" t="s">
        <v>161</v>
      </c>
      <c r="N1318" s="52" t="str">
        <f>IF(AND('331-CT'!$E$7=TH!H1318,OR(L1318="331",M1318="331")),"331",IF(AND(OR(L1318="131",M1318="131"),H1318='131-CT'!$E$7),"131",""))</f>
        <v/>
      </c>
      <c r="O1318" s="89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154</v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789"/>
    </row>
    <row r="1319" spans="1:28" s="917" customFormat="1" ht="15.75" customHeight="1">
      <c r="A1319" s="912" t="str">
        <f>IF(B1319&lt;&gt;"",IF(AND(B1319&gt;=_TM1,B1319&lt;=_TM2,OR(TH!L1319="1111",TH!M1319="1111")),TH!D1319,""),"")</f>
        <v/>
      </c>
      <c r="B1319" s="913">
        <f t="shared" si="197"/>
        <v>5</v>
      </c>
      <c r="C1319" s="48">
        <f t="shared" ref="C1319:C1336" si="202">E1319</f>
        <v>41790</v>
      </c>
      <c r="D1319" s="48" t="s">
        <v>1381</v>
      </c>
      <c r="E1319" s="918">
        <v>41790</v>
      </c>
      <c r="F1319" s="49" t="s">
        <v>330</v>
      </c>
      <c r="G1319" s="49"/>
      <c r="H1319" s="919" t="s">
        <v>1370</v>
      </c>
      <c r="I1319" s="254">
        <v>24</v>
      </c>
      <c r="J1319" s="254">
        <v>44000</v>
      </c>
      <c r="K1319" s="916">
        <f t="shared" si="201"/>
        <v>1056000</v>
      </c>
      <c r="L1319" s="52" t="s">
        <v>167</v>
      </c>
      <c r="M1319" s="52" t="s">
        <v>161</v>
      </c>
      <c r="N1319" s="52" t="str">
        <f>IF(AND('331-CT'!$E$7=TH!H1319,OR(L1319="331",M1319="331")),"331",IF(AND(OR(L1319="131",M1319="131"),H1319='131-CT'!$E$7),"131",""))</f>
        <v/>
      </c>
      <c r="O1319" s="89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>154</v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789"/>
    </row>
    <row r="1320" spans="1:28" s="917" customFormat="1" ht="15.75" customHeight="1">
      <c r="A1320" s="912" t="str">
        <f>IF(B1320&lt;&gt;"",IF(AND(B1320&gt;=_TM1,B1320&lt;=_TM2,OR(TH!L1320="1111",TH!M1320="1111")),TH!D1320,""),"")</f>
        <v/>
      </c>
      <c r="B1320" s="913">
        <f t="shared" si="197"/>
        <v>7</v>
      </c>
      <c r="C1320" s="48">
        <f t="shared" si="202"/>
        <v>41821</v>
      </c>
      <c r="D1320" s="48" t="s">
        <v>1381</v>
      </c>
      <c r="E1320" s="918">
        <v>41821</v>
      </c>
      <c r="F1320" s="49" t="s">
        <v>330</v>
      </c>
      <c r="G1320" s="49"/>
      <c r="H1320" s="919" t="s">
        <v>1370</v>
      </c>
      <c r="I1320" s="254">
        <v>24</v>
      </c>
      <c r="J1320" s="254">
        <v>45000</v>
      </c>
      <c r="K1320" s="916">
        <f t="shared" si="201"/>
        <v>1080000</v>
      </c>
      <c r="L1320" s="52" t="s">
        <v>167</v>
      </c>
      <c r="M1320" s="52" t="s">
        <v>161</v>
      </c>
      <c r="N1320" s="52" t="str">
        <f>IF(AND('331-CT'!$E$7=TH!H1320,OR(L1320="331",M1320="331")),"331",IF(AND(OR(L1320="131",M1320="131"),H1320='131-CT'!$E$7),"131",""))</f>
        <v/>
      </c>
      <c r="O1320" s="89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789"/>
    </row>
    <row r="1321" spans="1:28" s="917" customFormat="1" ht="15.75" customHeight="1">
      <c r="A1321" s="912" t="str">
        <f>IF(B1321&lt;&gt;"",IF(AND(B1321&gt;=_TM1,B1321&lt;=_TM2,OR(TH!L1321="1111",TH!M1321="1111")),TH!D1321,""),"")</f>
        <v/>
      </c>
      <c r="B1321" s="913">
        <f t="shared" si="197"/>
        <v>7</v>
      </c>
      <c r="C1321" s="48">
        <f t="shared" si="202"/>
        <v>41842</v>
      </c>
      <c r="D1321" s="48" t="s">
        <v>1381</v>
      </c>
      <c r="E1321" s="918">
        <v>41842</v>
      </c>
      <c r="F1321" s="49" t="s">
        <v>1021</v>
      </c>
      <c r="G1321" s="49"/>
      <c r="H1321" s="919" t="s">
        <v>1370</v>
      </c>
      <c r="I1321" s="254">
        <v>1500</v>
      </c>
      <c r="J1321" s="254">
        <v>11000</v>
      </c>
      <c r="K1321" s="916">
        <f t="shared" si="201"/>
        <v>16500000</v>
      </c>
      <c r="L1321" s="52" t="s">
        <v>167</v>
      </c>
      <c r="M1321" s="52" t="s">
        <v>161</v>
      </c>
      <c r="N1321" s="52" t="str">
        <f>IF(AND('331-CT'!$E$7=TH!H1321,OR(L1321="331",M1321="331")),"331",IF(AND(OR(L1321="131",M1321="131"),H1321='131-CT'!$E$7),"131",""))</f>
        <v/>
      </c>
      <c r="O1321" s="89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789"/>
    </row>
    <row r="1322" spans="1:28" s="917" customFormat="1" ht="15.75" customHeight="1">
      <c r="A1322" s="912" t="str">
        <f>IF(B1322&lt;&gt;"",IF(AND(B1322&gt;=_TM1,B1322&lt;=_TM2,OR(TH!L1322="1111",TH!M1322="1111")),TH!D1322,""),"")</f>
        <v/>
      </c>
      <c r="B1322" s="913">
        <f t="shared" si="197"/>
        <v>7</v>
      </c>
      <c r="C1322" s="48">
        <f t="shared" si="202"/>
        <v>41851</v>
      </c>
      <c r="D1322" s="48" t="s">
        <v>1381</v>
      </c>
      <c r="E1322" s="918">
        <v>41851</v>
      </c>
      <c r="F1322" s="49" t="s">
        <v>1026</v>
      </c>
      <c r="G1322" s="49"/>
      <c r="H1322" s="919" t="s">
        <v>1370</v>
      </c>
      <c r="I1322" s="254">
        <v>25</v>
      </c>
      <c r="J1322" s="254">
        <v>20000</v>
      </c>
      <c r="K1322" s="916">
        <f t="shared" si="201"/>
        <v>500000</v>
      </c>
      <c r="L1322" s="52" t="s">
        <v>167</v>
      </c>
      <c r="M1322" s="52" t="s">
        <v>161</v>
      </c>
      <c r="N1322" s="52" t="str">
        <f>IF(AND('331-CT'!$E$7=TH!H1322,OR(L1322="331",M1322="331")),"331",IF(AND(OR(L1322="131",M1322="131"),H1322='131-CT'!$E$7),"131",""))</f>
        <v/>
      </c>
      <c r="O1322" s="89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789"/>
    </row>
    <row r="1323" spans="1:28" s="917" customFormat="1" ht="15.75" customHeight="1">
      <c r="A1323" s="912" t="str">
        <f>IF(B1323&lt;&gt;"",IF(AND(B1323&gt;=_TM1,B1323&lt;=_TM2,OR(TH!L1323="1111",TH!M1323="1111")),TH!D1323,""),"")</f>
        <v/>
      </c>
      <c r="B1323" s="913">
        <f t="shared" si="197"/>
        <v>7</v>
      </c>
      <c r="C1323" s="48">
        <f t="shared" si="202"/>
        <v>41851</v>
      </c>
      <c r="D1323" s="48" t="s">
        <v>1381</v>
      </c>
      <c r="E1323" s="48">
        <v>41851</v>
      </c>
      <c r="F1323" s="49" t="s">
        <v>1027</v>
      </c>
      <c r="G1323" s="49"/>
      <c r="H1323" s="919" t="s">
        <v>1370</v>
      </c>
      <c r="I1323" s="254">
        <v>100</v>
      </c>
      <c r="J1323" s="254">
        <v>20000</v>
      </c>
      <c r="K1323" s="916">
        <f t="shared" si="201"/>
        <v>2000000</v>
      </c>
      <c r="L1323" s="52" t="s">
        <v>167</v>
      </c>
      <c r="M1323" s="52" t="s">
        <v>161</v>
      </c>
      <c r="N1323" s="52" t="str">
        <f>IF(AND('331-CT'!$E$7=TH!H1323,OR(L1323="331",M1323="331")),"331",IF(AND(OR(L1323="131",M1323="131"),H1323='131-CT'!$E$7),"131",""))</f>
        <v/>
      </c>
      <c r="O1323" s="89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789"/>
    </row>
    <row r="1324" spans="1:28" s="917" customFormat="1" ht="15.75" customHeight="1">
      <c r="A1324" s="912" t="str">
        <f>IF(B1324&lt;&gt;"",IF(AND(B1324&gt;=_TM1,B1324&lt;=_TM2,OR(TH!L1324="1111",TH!M1324="1111")),TH!D1324,""),"")</f>
        <v/>
      </c>
      <c r="B1324" s="913">
        <f t="shared" si="197"/>
        <v>8</v>
      </c>
      <c r="C1324" s="48">
        <f t="shared" si="202"/>
        <v>41858</v>
      </c>
      <c r="D1324" s="48" t="s">
        <v>1381</v>
      </c>
      <c r="E1324" s="48">
        <v>41858</v>
      </c>
      <c r="F1324" s="49" t="s">
        <v>1132</v>
      </c>
      <c r="G1324" s="49"/>
      <c r="H1324" s="919" t="s">
        <v>1370</v>
      </c>
      <c r="I1324" s="254">
        <v>55</v>
      </c>
      <c r="J1324" s="254">
        <v>360000</v>
      </c>
      <c r="K1324" s="916">
        <f t="shared" si="201"/>
        <v>19800000</v>
      </c>
      <c r="L1324" s="52" t="s">
        <v>167</v>
      </c>
      <c r="M1324" s="52" t="s">
        <v>161</v>
      </c>
      <c r="N1324" s="52" t="str">
        <f>IF(AND('331-CT'!$E$7=TH!H1324,OR(L1324="331",M1324="331")),"331",IF(AND(OR(L1324="131",M1324="131"),H1324='131-CT'!$E$7),"131",""))</f>
        <v/>
      </c>
      <c r="O1324" s="89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789"/>
    </row>
    <row r="1325" spans="1:28" s="917" customFormat="1" ht="15.75" customHeight="1">
      <c r="A1325" s="912" t="str">
        <f>IF(B1325&lt;&gt;"",IF(AND(B1325&gt;=_TM1,B1325&lt;=_TM2,OR(TH!L1325="1111",TH!M1325="1111")),TH!D1325,""),"")</f>
        <v/>
      </c>
      <c r="B1325" s="913">
        <f t="shared" ref="B1325:B1332" si="203">IF(C1325&lt;&gt;"",MONTH(C1325),"")</f>
        <v>8</v>
      </c>
      <c r="C1325" s="48">
        <f t="shared" ref="C1325:C1332" si="204">E1325</f>
        <v>41870</v>
      </c>
      <c r="D1325" s="48" t="s">
        <v>1381</v>
      </c>
      <c r="E1325" s="48">
        <v>41870</v>
      </c>
      <c r="F1325" s="915" t="s">
        <v>330</v>
      </c>
      <c r="G1325" s="49"/>
      <c r="H1325" s="919" t="s">
        <v>1370</v>
      </c>
      <c r="I1325" s="254">
        <v>24</v>
      </c>
      <c r="J1325" s="254">
        <v>45000</v>
      </c>
      <c r="K1325" s="916">
        <f t="shared" ref="K1325:K1332" si="205">ROUND(I1325*J1325,0)</f>
        <v>1080000</v>
      </c>
      <c r="L1325" s="52" t="s">
        <v>167</v>
      </c>
      <c r="M1325" s="52" t="s">
        <v>161</v>
      </c>
      <c r="N1325" s="52" t="str">
        <f>IF(AND('331-CT'!$E$7=TH!H1325,OR(L1325="331",M1325="331")),"331",IF(AND(OR(L1325="131",M1325="131"),H1325='131-CT'!$E$7),"131",""))</f>
        <v/>
      </c>
      <c r="O1325" s="89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789"/>
    </row>
    <row r="1326" spans="1:28" s="917" customFormat="1" ht="15.75" customHeight="1">
      <c r="A1326" s="912" t="str">
        <f>IF(B1326&lt;&gt;"",IF(AND(B1326&gt;=_TM1,B1326&lt;=_TM2,OR(TH!L1326="1111",TH!M1326="1111")),TH!D1326,""),"")</f>
        <v/>
      </c>
      <c r="B1326" s="913">
        <f t="shared" si="203"/>
        <v>9</v>
      </c>
      <c r="C1326" s="48">
        <f t="shared" si="204"/>
        <v>41901</v>
      </c>
      <c r="D1326" s="48" t="s">
        <v>1381</v>
      </c>
      <c r="E1326" s="48">
        <v>41901</v>
      </c>
      <c r="F1326" s="49" t="s">
        <v>1132</v>
      </c>
      <c r="G1326" s="49"/>
      <c r="H1326" s="919" t="s">
        <v>1370</v>
      </c>
      <c r="I1326" s="254">
        <v>110</v>
      </c>
      <c r="J1326" s="254">
        <v>360000</v>
      </c>
      <c r="K1326" s="916">
        <f t="shared" si="205"/>
        <v>39600000</v>
      </c>
      <c r="L1326" s="52" t="s">
        <v>167</v>
      </c>
      <c r="M1326" s="52" t="s">
        <v>161</v>
      </c>
      <c r="N1326" s="52" t="str">
        <f>IF(AND('331-CT'!$E$7=TH!H1326,OR(L1326="331",M1326="331")),"331",IF(AND(OR(L1326="131",M1326="131"),H1326='131-CT'!$E$7),"131",""))</f>
        <v/>
      </c>
      <c r="O1326" s="89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789"/>
    </row>
    <row r="1327" spans="1:28" s="917" customFormat="1" ht="15.75" customHeight="1">
      <c r="A1327" s="912" t="str">
        <f>IF(B1327&lt;&gt;"",IF(AND(B1327&gt;=_TM1,B1327&lt;=_TM2,OR(TH!L1327="1111",TH!M1327="1111")),TH!D1327,""),"")</f>
        <v/>
      </c>
      <c r="B1327" s="913">
        <f t="shared" si="203"/>
        <v>9</v>
      </c>
      <c r="C1327" s="48">
        <f t="shared" si="204"/>
        <v>41902</v>
      </c>
      <c r="D1327" s="48" t="s">
        <v>1381</v>
      </c>
      <c r="E1327" s="920">
        <v>41902</v>
      </c>
      <c r="F1327" s="921" t="s">
        <v>330</v>
      </c>
      <c r="G1327" s="922"/>
      <c r="H1327" s="919" t="s">
        <v>1370</v>
      </c>
      <c r="I1327" s="254">
        <v>24</v>
      </c>
      <c r="J1327" s="254">
        <v>45000</v>
      </c>
      <c r="K1327" s="916">
        <f t="shared" si="205"/>
        <v>1080000</v>
      </c>
      <c r="L1327" s="52" t="s">
        <v>167</v>
      </c>
      <c r="M1327" s="52" t="s">
        <v>161</v>
      </c>
      <c r="N1327" s="52" t="str">
        <f>IF(AND('331-CT'!$E$7=TH!H1327,OR(L1327="331",M1327="331")),"331",IF(AND(OR(L1327="131",M1327="131"),H1327='131-CT'!$E$7),"131",""))</f>
        <v/>
      </c>
      <c r="O1327" s="89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789"/>
    </row>
    <row r="1328" spans="1:28" s="917" customFormat="1" ht="15.75" customHeight="1">
      <c r="A1328" s="912" t="str">
        <f>IF(B1328&lt;&gt;"",IF(AND(B1328&gt;=_TM1,B1328&lt;=_TM2,OR(TH!L1328="1111",TH!M1328="1111")),TH!D1328,""),"")</f>
        <v/>
      </c>
      <c r="B1328" s="913">
        <f t="shared" si="203"/>
        <v>10</v>
      </c>
      <c r="C1328" s="48">
        <f t="shared" si="204"/>
        <v>41914</v>
      </c>
      <c r="D1328" s="48" t="s">
        <v>1381</v>
      </c>
      <c r="E1328" s="48">
        <v>41914</v>
      </c>
      <c r="F1328" s="915" t="s">
        <v>1132</v>
      </c>
      <c r="G1328" s="49"/>
      <c r="H1328" s="919" t="s">
        <v>1370</v>
      </c>
      <c r="I1328" s="254">
        <v>110</v>
      </c>
      <c r="J1328" s="254">
        <v>360000</v>
      </c>
      <c r="K1328" s="916">
        <f t="shared" si="205"/>
        <v>39600000</v>
      </c>
      <c r="L1328" s="52" t="s">
        <v>167</v>
      </c>
      <c r="M1328" s="52" t="s">
        <v>161</v>
      </c>
      <c r="N1328" s="52" t="str">
        <f>IF(AND('331-CT'!$E$7=TH!H1328,OR(L1328="331",M1328="331")),"331",IF(AND(OR(L1328="131",M1328="131"),H1328='131-CT'!$E$7),"131",""))</f>
        <v/>
      </c>
      <c r="O1328" s="89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789"/>
    </row>
    <row r="1329" spans="1:28" s="917" customFormat="1" ht="15.75" customHeight="1">
      <c r="A1329" s="912" t="str">
        <f>IF(B1329&lt;&gt;"",IF(AND(B1329&gt;=_TM1,B1329&lt;=_TM2,OR(TH!L1329="1111",TH!M1329="1111")),TH!D1329,""),"")</f>
        <v/>
      </c>
      <c r="B1329" s="913">
        <f t="shared" si="203"/>
        <v>10</v>
      </c>
      <c r="C1329" s="48">
        <f t="shared" si="204"/>
        <v>41914</v>
      </c>
      <c r="D1329" s="48" t="s">
        <v>1381</v>
      </c>
      <c r="E1329" s="48">
        <v>41914</v>
      </c>
      <c r="F1329" s="49" t="s">
        <v>1021</v>
      </c>
      <c r="G1329" s="49"/>
      <c r="H1329" s="919" t="s">
        <v>1370</v>
      </c>
      <c r="I1329" s="254">
        <v>1500</v>
      </c>
      <c r="J1329" s="254">
        <v>11000</v>
      </c>
      <c r="K1329" s="916">
        <f t="shared" si="205"/>
        <v>16500000</v>
      </c>
      <c r="L1329" s="52" t="s">
        <v>167</v>
      </c>
      <c r="M1329" s="52" t="s">
        <v>161</v>
      </c>
      <c r="N1329" s="52" t="str">
        <f>IF(AND('331-CT'!$E$7=TH!H1329,OR(L1329="331",M1329="331")),"331",IF(AND(OR(L1329="131",M1329="131"),H1329='131-CT'!$E$7),"131",""))</f>
        <v/>
      </c>
      <c r="O1329" s="89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789"/>
    </row>
    <row r="1330" spans="1:28" s="917" customFormat="1" ht="15.75" customHeight="1">
      <c r="A1330" s="912" t="str">
        <f>IF(B1330&lt;&gt;"",IF(AND(B1330&gt;=_TM1,B1330&lt;=_TM2,OR(TH!L1330="1111",TH!M1330="1111")),TH!D1330,""),"")</f>
        <v/>
      </c>
      <c r="B1330" s="913">
        <f t="shared" si="203"/>
        <v>10</v>
      </c>
      <c r="C1330" s="48">
        <f t="shared" si="204"/>
        <v>41919</v>
      </c>
      <c r="D1330" s="48" t="s">
        <v>1381</v>
      </c>
      <c r="E1330" s="920">
        <v>41919</v>
      </c>
      <c r="F1330" s="921" t="s">
        <v>1327</v>
      </c>
      <c r="G1330" s="922"/>
      <c r="H1330" s="919" t="s">
        <v>1370</v>
      </c>
      <c r="I1330" s="254">
        <v>100</v>
      </c>
      <c r="J1330" s="254">
        <v>17500</v>
      </c>
      <c r="K1330" s="916">
        <f t="shared" si="205"/>
        <v>1750000</v>
      </c>
      <c r="L1330" s="52" t="s">
        <v>167</v>
      </c>
      <c r="M1330" s="52" t="s">
        <v>161</v>
      </c>
      <c r="N1330" s="52" t="str">
        <f>IF(AND('331-CT'!$E$7=TH!H1330,OR(L1330="331",M1330="331")),"331",IF(AND(OR(L1330="131",M1330="131"),H1330='131-CT'!$E$7),"131",""))</f>
        <v/>
      </c>
      <c r="O1330" s="89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789"/>
    </row>
    <row r="1331" spans="1:28" s="917" customFormat="1" ht="15.75" customHeight="1">
      <c r="A1331" s="912" t="str">
        <f>IF(B1331&lt;&gt;"",IF(AND(B1331&gt;=_TM1,B1331&lt;=_TM2,OR(TH!L1331="1111",TH!M1331="1111")),TH!D1331,""),"")</f>
        <v/>
      </c>
      <c r="B1331" s="913">
        <f t="shared" si="203"/>
        <v>10</v>
      </c>
      <c r="C1331" s="48">
        <f t="shared" si="204"/>
        <v>41922</v>
      </c>
      <c r="D1331" s="48" t="s">
        <v>1381</v>
      </c>
      <c r="E1331" s="48">
        <v>41922</v>
      </c>
      <c r="F1331" s="915" t="s">
        <v>350</v>
      </c>
      <c r="G1331" s="49"/>
      <c r="H1331" s="919" t="s">
        <v>1370</v>
      </c>
      <c r="I1331" s="254">
        <v>150</v>
      </c>
      <c r="J1331" s="254">
        <v>20454</v>
      </c>
      <c r="K1331" s="916">
        <f t="shared" si="205"/>
        <v>3068100</v>
      </c>
      <c r="L1331" s="52" t="s">
        <v>167</v>
      </c>
      <c r="M1331" s="52" t="s">
        <v>161</v>
      </c>
      <c r="N1331" s="52" t="str">
        <f>IF(AND('331-CT'!$E$7=TH!H1331,OR(L1331="331",M1331="331")),"331",IF(AND(OR(L1331="131",M1331="131"),H1331='131-CT'!$E$7),"131",""))</f>
        <v/>
      </c>
      <c r="O1331" s="89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>x</v>
      </c>
      <c r="AA1331" s="52" t="str">
        <f>IF(AND(B1331&lt;=NKC!$N$8,B1331&gt;=NKC!$M$8),"x","")</f>
        <v/>
      </c>
      <c r="AB1331" s="789"/>
    </row>
    <row r="1332" spans="1:28" s="917" customFormat="1" ht="15.75" customHeight="1">
      <c r="A1332" s="912" t="str">
        <f>IF(B1332&lt;&gt;"",IF(AND(B1332&gt;=_TM1,B1332&lt;=_TM2,OR(TH!L1332="1111",TH!M1332="1111")),TH!D1332,""),"")</f>
        <v/>
      </c>
      <c r="B1332" s="913">
        <f t="shared" si="203"/>
        <v>10</v>
      </c>
      <c r="C1332" s="48">
        <f t="shared" si="204"/>
        <v>41943</v>
      </c>
      <c r="D1332" s="48" t="s">
        <v>1381</v>
      </c>
      <c r="E1332" s="48">
        <v>41943</v>
      </c>
      <c r="F1332" s="49" t="s">
        <v>330</v>
      </c>
      <c r="G1332" s="49"/>
      <c r="H1332" s="919" t="s">
        <v>1370</v>
      </c>
      <c r="I1332" s="254">
        <v>24</v>
      </c>
      <c r="J1332" s="254">
        <v>45000</v>
      </c>
      <c r="K1332" s="916">
        <f t="shared" si="205"/>
        <v>1080000</v>
      </c>
      <c r="L1332" s="52" t="s">
        <v>167</v>
      </c>
      <c r="M1332" s="52" t="s">
        <v>161</v>
      </c>
      <c r="N1332" s="52" t="str">
        <f>IF(AND('331-CT'!$E$7=TH!H1332,OR(L1332="331",M1332="331")),"331",IF(AND(OR(L1332="131",M1332="131"),H1332='131-CT'!$E$7),"131",""))</f>
        <v/>
      </c>
      <c r="O1332" s="89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789"/>
    </row>
    <row r="1333" spans="1:28" s="917" customFormat="1" ht="15.75" customHeight="1">
      <c r="A1333" s="912" t="str">
        <f>IF(B1333&lt;&gt;"",IF(AND(B1333&gt;=_TM1,B1333&lt;=_TM2,OR(TH!L1333="1111",TH!M1333="1111")),TH!D1333,""),"")</f>
        <v/>
      </c>
      <c r="B1333" s="913">
        <f t="shared" si="197"/>
        <v>12</v>
      </c>
      <c r="C1333" s="48">
        <f t="shared" si="202"/>
        <v>41993</v>
      </c>
      <c r="D1333" s="48" t="s">
        <v>1381</v>
      </c>
      <c r="E1333" s="48">
        <v>41993</v>
      </c>
      <c r="F1333" s="915" t="s">
        <v>330</v>
      </c>
      <c r="G1333" s="49"/>
      <c r="H1333" s="919" t="s">
        <v>1370</v>
      </c>
      <c r="I1333" s="254">
        <v>24</v>
      </c>
      <c r="J1333" s="254">
        <v>45000</v>
      </c>
      <c r="K1333" s="916">
        <f t="shared" si="201"/>
        <v>1080000</v>
      </c>
      <c r="L1333" s="52" t="s">
        <v>167</v>
      </c>
      <c r="M1333" s="52" t="s">
        <v>161</v>
      </c>
      <c r="N1333" s="52" t="str">
        <f>IF(AND('331-CT'!$E$7=TH!H1333,OR(L1333="331",M1333="331")),"331",IF(AND(OR(L1333="131",M1333="131"),H1333='131-CT'!$E$7),"131",""))</f>
        <v/>
      </c>
      <c r="O1333" s="89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789"/>
    </row>
    <row r="1334" spans="1:28" s="856" customFormat="1" ht="15.75" customHeight="1">
      <c r="A1334" s="844" t="str">
        <f>IF(B1334&lt;&gt;"",IF(AND(B1334&gt;=_TM1,B1334&lt;=_TM2,OR(TH!L1334="1111",TH!M1334="1111")),TH!D1334,""),"")</f>
        <v/>
      </c>
      <c r="B1334" s="845">
        <f t="shared" si="197"/>
        <v>1</v>
      </c>
      <c r="C1334" s="933">
        <f t="shared" si="202"/>
        <v>41642</v>
      </c>
      <c r="D1334" s="847" t="s">
        <v>1382</v>
      </c>
      <c r="E1334" s="847">
        <v>41642</v>
      </c>
      <c r="F1334" s="857" t="s">
        <v>1360</v>
      </c>
      <c r="G1334" s="858" t="s">
        <v>419</v>
      </c>
      <c r="H1334" s="909" t="s">
        <v>1370</v>
      </c>
      <c r="I1334" s="851">
        <v>530</v>
      </c>
      <c r="J1334" s="851">
        <v>14813</v>
      </c>
      <c r="K1334" s="852">
        <f t="shared" ref="K1334" si="206">ROUND(I1334*J1334,0)</f>
        <v>7850890</v>
      </c>
      <c r="L1334" s="843" t="s">
        <v>167</v>
      </c>
      <c r="M1334" s="843" t="s">
        <v>159</v>
      </c>
      <c r="N1334" s="52" t="str">
        <f>IF(AND('331-CT'!$E$7=TH!H1334,OR(L1334="331",M1334="331")),"331",IF(AND(OR(L1334="131",M1334="131"),H1334='131-CT'!$E$7),"131",""))</f>
        <v/>
      </c>
      <c r="O1334" s="89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54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97"/>
        <v>1</v>
      </c>
      <c r="C1335" s="37">
        <f t="shared" si="202"/>
        <v>41642</v>
      </c>
      <c r="D1335" s="191" t="s">
        <v>1382</v>
      </c>
      <c r="E1335" s="191">
        <v>41642</v>
      </c>
      <c r="F1335" s="192" t="s">
        <v>1338</v>
      </c>
      <c r="G1335" s="468" t="s">
        <v>423</v>
      </c>
      <c r="H1335" s="193" t="s">
        <v>1370</v>
      </c>
      <c r="I1335" s="256">
        <v>90</v>
      </c>
      <c r="J1335" s="256">
        <v>31288</v>
      </c>
      <c r="K1335" s="568">
        <f t="shared" ref="K1335:K1336" si="207">ROUND(I1335*J1335,0)</f>
        <v>2815920</v>
      </c>
      <c r="L1335" s="39" t="s">
        <v>167</v>
      </c>
      <c r="M1335" s="39" t="s">
        <v>159</v>
      </c>
      <c r="N1335" s="52" t="str">
        <f>IF(AND('331-CT'!$E$7=TH!H1335,OR(L1335="331",M1335="331")),"331",IF(AND(OR(L1335="131",M1335="131"),H1335='131-CT'!$E$7),"131",""))</f>
        <v/>
      </c>
      <c r="O1335" s="89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15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97"/>
        <v>1</v>
      </c>
      <c r="C1336" s="37">
        <f t="shared" si="202"/>
        <v>41642</v>
      </c>
      <c r="D1336" s="191" t="s">
        <v>1382</v>
      </c>
      <c r="E1336" s="191">
        <v>41642</v>
      </c>
      <c r="F1336" s="192" t="s">
        <v>1339</v>
      </c>
      <c r="G1336" s="468" t="s">
        <v>423</v>
      </c>
      <c r="H1336" s="193" t="s">
        <v>1370</v>
      </c>
      <c r="I1336" s="256">
        <v>201</v>
      </c>
      <c r="J1336" s="256">
        <v>13517</v>
      </c>
      <c r="K1336" s="568">
        <f t="shared" si="207"/>
        <v>2716917</v>
      </c>
      <c r="L1336" s="39" t="s">
        <v>167</v>
      </c>
      <c r="M1336" s="39" t="s">
        <v>159</v>
      </c>
      <c r="N1336" s="52" t="str">
        <f>IF(AND('331-CT'!$E$7=TH!H1336,OR(L1336="331",M1336="331")),"331",IF(AND(OR(L1336="131",M1336="131"),H1336='131-CT'!$E$7),"131",""))</f>
        <v/>
      </c>
      <c r="O1336" s="89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15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ref="B1337:B1404" si="208">IF(C1337&lt;&gt;"",MONTH(C1337),"")</f>
        <v>1</v>
      </c>
      <c r="C1337" s="37">
        <f t="shared" ref="C1337:C1404" si="209">E1337</f>
        <v>41642</v>
      </c>
      <c r="D1337" s="191" t="s">
        <v>1382</v>
      </c>
      <c r="E1337" s="191">
        <v>41642</v>
      </c>
      <c r="F1337" s="192" t="s">
        <v>1353</v>
      </c>
      <c r="G1337" s="468" t="s">
        <v>423</v>
      </c>
      <c r="H1337" s="193" t="s">
        <v>1370</v>
      </c>
      <c r="I1337" s="256">
        <v>108</v>
      </c>
      <c r="J1337" s="256">
        <v>14978</v>
      </c>
      <c r="K1337" s="568">
        <f t="shared" ref="K1337:K1404" si="210">ROUND(I1337*J1337,0)</f>
        <v>1617624</v>
      </c>
      <c r="L1337" s="39" t="s">
        <v>167</v>
      </c>
      <c r="M1337" s="39" t="s">
        <v>159</v>
      </c>
      <c r="N1337" s="52" t="str">
        <f>IF(AND('331-CT'!$E$7=TH!H1337,OR(L1337="331",M1337="331")),"331",IF(AND(OR(L1337="131",M1337="131"),H1337='131-CT'!$E$7),"131",""))</f>
        <v/>
      </c>
      <c r="O1337" s="89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15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208"/>
        <v>1</v>
      </c>
      <c r="C1338" s="37">
        <f t="shared" si="209"/>
        <v>41661</v>
      </c>
      <c r="D1338" s="191" t="s">
        <v>1382</v>
      </c>
      <c r="E1338" s="191">
        <v>41661</v>
      </c>
      <c r="F1338" s="192" t="s">
        <v>1337</v>
      </c>
      <c r="G1338" s="468" t="s">
        <v>425</v>
      </c>
      <c r="H1338" s="193" t="s">
        <v>1370</v>
      </c>
      <c r="I1338" s="256">
        <v>300</v>
      </c>
      <c r="J1338" s="256">
        <v>13621</v>
      </c>
      <c r="K1338" s="568">
        <f t="shared" si="210"/>
        <v>4086300</v>
      </c>
      <c r="L1338" s="39" t="s">
        <v>167</v>
      </c>
      <c r="M1338" s="39" t="s">
        <v>159</v>
      </c>
      <c r="N1338" s="52" t="str">
        <f>IF(AND('331-CT'!$E$7=TH!H1338,OR(L1338="331",M1338="331")),"331",IF(AND(OR(L1338="131",M1338="131"),H1338='131-CT'!$E$7),"131",""))</f>
        <v/>
      </c>
      <c r="O1338" s="89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15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208"/>
        <v>1</v>
      </c>
      <c r="C1339" s="37">
        <f t="shared" si="209"/>
        <v>41661</v>
      </c>
      <c r="D1339" s="191" t="s">
        <v>1382</v>
      </c>
      <c r="E1339" s="191">
        <v>41661</v>
      </c>
      <c r="F1339" s="192" t="s">
        <v>1331</v>
      </c>
      <c r="G1339" s="468" t="s">
        <v>428</v>
      </c>
      <c r="H1339" s="193" t="s">
        <v>1370</v>
      </c>
      <c r="I1339" s="256">
        <v>104</v>
      </c>
      <c r="J1339" s="256">
        <v>24095</v>
      </c>
      <c r="K1339" s="568">
        <f t="shared" si="210"/>
        <v>2505880</v>
      </c>
      <c r="L1339" s="39" t="s">
        <v>167</v>
      </c>
      <c r="M1339" s="39" t="s">
        <v>159</v>
      </c>
      <c r="N1339" s="52" t="str">
        <f>IF(AND('331-CT'!$E$7=TH!H1339,OR(L1339="331",M1339="331")),"331",IF(AND(OR(L1339="131",M1339="131"),H1339='131-CT'!$E$7),"131",""))</f>
        <v/>
      </c>
      <c r="O1339" s="89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15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208"/>
        <v>1</v>
      </c>
      <c r="C1340" s="37">
        <f t="shared" si="209"/>
        <v>41661</v>
      </c>
      <c r="D1340" s="191" t="s">
        <v>1382</v>
      </c>
      <c r="E1340" s="191">
        <v>41661</v>
      </c>
      <c r="F1340" s="192" t="s">
        <v>1333</v>
      </c>
      <c r="G1340" s="468" t="s">
        <v>428</v>
      </c>
      <c r="H1340" s="193" t="s">
        <v>1370</v>
      </c>
      <c r="I1340" s="256">
        <v>100</v>
      </c>
      <c r="J1340" s="256">
        <v>24922</v>
      </c>
      <c r="K1340" s="568">
        <f t="shared" si="210"/>
        <v>2492200</v>
      </c>
      <c r="L1340" s="39" t="s">
        <v>167</v>
      </c>
      <c r="M1340" s="39" t="s">
        <v>159</v>
      </c>
      <c r="N1340" s="52" t="str">
        <f>IF(AND('331-CT'!$E$7=TH!H1340,OR(L1340="331",M1340="331")),"331",IF(AND(OR(L1340="131",M1340="131"),H1340='131-CT'!$E$7),"131",""))</f>
        <v/>
      </c>
      <c r="O1340" s="89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15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208"/>
        <v>1</v>
      </c>
      <c r="C1341" s="37">
        <f t="shared" si="209"/>
        <v>41661</v>
      </c>
      <c r="D1341" s="191" t="s">
        <v>1382</v>
      </c>
      <c r="E1341" s="191">
        <v>41661</v>
      </c>
      <c r="F1341" s="192" t="s">
        <v>1359</v>
      </c>
      <c r="G1341" s="468" t="s">
        <v>428</v>
      </c>
      <c r="H1341" s="193" t="s">
        <v>1370</v>
      </c>
      <c r="I1341" s="256">
        <v>215</v>
      </c>
      <c r="J1341" s="256">
        <v>9200</v>
      </c>
      <c r="K1341" s="568">
        <f t="shared" si="210"/>
        <v>1978000</v>
      </c>
      <c r="L1341" s="39" t="s">
        <v>167</v>
      </c>
      <c r="M1341" s="39" t="s">
        <v>159</v>
      </c>
      <c r="N1341" s="52" t="str">
        <f>IF(AND('331-CT'!$E$7=TH!H1341,OR(L1341="331",M1341="331")),"331",IF(AND(OR(L1341="131",M1341="131"),H1341='131-CT'!$E$7),"131",""))</f>
        <v/>
      </c>
      <c r="O1341" s="89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15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208"/>
        <v>1</v>
      </c>
      <c r="C1342" s="37">
        <f t="shared" si="209"/>
        <v>41661</v>
      </c>
      <c r="D1342" s="191" t="s">
        <v>1382</v>
      </c>
      <c r="E1342" s="191">
        <v>41661</v>
      </c>
      <c r="F1342" s="192" t="s">
        <v>1357</v>
      </c>
      <c r="G1342" s="468" t="s">
        <v>428</v>
      </c>
      <c r="H1342" s="193" t="s">
        <v>1370</v>
      </c>
      <c r="I1342" s="256">
        <v>50</v>
      </c>
      <c r="J1342" s="256">
        <v>22812</v>
      </c>
      <c r="K1342" s="568">
        <f t="shared" si="210"/>
        <v>1140600</v>
      </c>
      <c r="L1342" s="39" t="s">
        <v>167</v>
      </c>
      <c r="M1342" s="39" t="s">
        <v>159</v>
      </c>
      <c r="N1342" s="52" t="str">
        <f>IF(AND('331-CT'!$E$7=TH!H1342,OR(L1342="331",M1342="331")),"331",IF(AND(OR(L1342="131",M1342="131"),H1342='131-CT'!$E$7),"131",""))</f>
        <v/>
      </c>
      <c r="O1342" s="89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15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208"/>
        <v>1</v>
      </c>
      <c r="C1343" s="37">
        <f t="shared" si="209"/>
        <v>41661</v>
      </c>
      <c r="D1343" s="191" t="s">
        <v>1382</v>
      </c>
      <c r="E1343" s="191">
        <v>41661</v>
      </c>
      <c r="F1343" s="192" t="s">
        <v>1345</v>
      </c>
      <c r="G1343" s="468" t="s">
        <v>428</v>
      </c>
      <c r="H1343" s="193" t="s">
        <v>1370</v>
      </c>
      <c r="I1343" s="256">
        <v>150</v>
      </c>
      <c r="J1343" s="256">
        <v>14784</v>
      </c>
      <c r="K1343" s="568">
        <f t="shared" si="210"/>
        <v>2217600</v>
      </c>
      <c r="L1343" s="39" t="s">
        <v>167</v>
      </c>
      <c r="M1343" s="39" t="s">
        <v>159</v>
      </c>
      <c r="N1343" s="52" t="str">
        <f>IF(AND('331-CT'!$E$7=TH!H1343,OR(L1343="331",M1343="331")),"331",IF(AND(OR(L1343="131",M1343="131"),H1343='131-CT'!$E$7),"131",""))</f>
        <v/>
      </c>
      <c r="O1343" s="89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15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208"/>
        <v>1</v>
      </c>
      <c r="C1344" s="37">
        <f t="shared" si="209"/>
        <v>41661</v>
      </c>
      <c r="D1344" s="191" t="s">
        <v>1382</v>
      </c>
      <c r="E1344" s="191">
        <v>41661</v>
      </c>
      <c r="F1344" s="192" t="s">
        <v>999</v>
      </c>
      <c r="G1344" s="468" t="s">
        <v>433</v>
      </c>
      <c r="H1344" s="193" t="s">
        <v>1370</v>
      </c>
      <c r="I1344" s="256">
        <v>654</v>
      </c>
      <c r="J1344" s="256">
        <v>15220</v>
      </c>
      <c r="K1344" s="568">
        <f t="shared" si="210"/>
        <v>9953880</v>
      </c>
      <c r="L1344" s="39" t="s">
        <v>167</v>
      </c>
      <c r="M1344" s="39" t="s">
        <v>159</v>
      </c>
      <c r="N1344" s="52" t="str">
        <f>IF(AND('331-CT'!$E$7=TH!H1344,OR(L1344="331",M1344="331")),"331",IF(AND(OR(L1344="131",M1344="131"),H1344='131-CT'!$E$7),"131",""))</f>
        <v/>
      </c>
      <c r="O1344" s="89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15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208"/>
        <v>1</v>
      </c>
      <c r="C1345" s="37">
        <f t="shared" si="209"/>
        <v>41661</v>
      </c>
      <c r="D1345" s="191" t="s">
        <v>1382</v>
      </c>
      <c r="E1345" s="191">
        <v>41661</v>
      </c>
      <c r="F1345" s="192" t="s">
        <v>1349</v>
      </c>
      <c r="G1345" s="468" t="s">
        <v>435</v>
      </c>
      <c r="H1345" s="193" t="s">
        <v>1370</v>
      </c>
      <c r="I1345" s="256">
        <v>101</v>
      </c>
      <c r="J1345" s="256">
        <v>22982</v>
      </c>
      <c r="K1345" s="568">
        <f t="shared" si="210"/>
        <v>2321182</v>
      </c>
      <c r="L1345" s="39" t="s">
        <v>167</v>
      </c>
      <c r="M1345" s="39" t="s">
        <v>159</v>
      </c>
      <c r="N1345" s="52" t="str">
        <f>IF(AND('331-CT'!$E$7=TH!H1345,OR(L1345="331",M1345="331")),"331",IF(AND(OR(L1345="131",M1345="131"),H1345='131-CT'!$E$7),"131",""))</f>
        <v/>
      </c>
      <c r="O1345" s="89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15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208"/>
        <v>2</v>
      </c>
      <c r="C1346" s="37">
        <f t="shared" si="209"/>
        <v>41681</v>
      </c>
      <c r="D1346" s="191" t="s">
        <v>1382</v>
      </c>
      <c r="E1346" s="191">
        <v>41681</v>
      </c>
      <c r="F1346" s="192" t="s">
        <v>1348</v>
      </c>
      <c r="G1346" s="468" t="s">
        <v>438</v>
      </c>
      <c r="H1346" s="193" t="s">
        <v>1370</v>
      </c>
      <c r="I1346" s="256">
        <v>203</v>
      </c>
      <c r="J1346" s="256">
        <v>22277</v>
      </c>
      <c r="K1346" s="568">
        <f t="shared" si="210"/>
        <v>4522231</v>
      </c>
      <c r="L1346" s="39" t="s">
        <v>167</v>
      </c>
      <c r="M1346" s="39" t="s">
        <v>159</v>
      </c>
      <c r="N1346" s="52" t="str">
        <f>IF(AND('331-CT'!$E$7=TH!H1346,OR(L1346="331",M1346="331")),"331",IF(AND(OR(L1346="131",M1346="131"),H1346='131-CT'!$E$7),"131",""))</f>
        <v/>
      </c>
      <c r="O1346" s="89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15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:B1349" si="211">IF(C1347&lt;&gt;"",MONTH(C1347),"")</f>
        <v>2</v>
      </c>
      <c r="C1347" s="37">
        <f t="shared" ref="C1347:C1349" si="212">E1347</f>
        <v>41681</v>
      </c>
      <c r="D1347" s="191" t="s">
        <v>1382</v>
      </c>
      <c r="E1347" s="191">
        <v>41681</v>
      </c>
      <c r="F1347" s="192" t="s">
        <v>1347</v>
      </c>
      <c r="G1347" s="468" t="s">
        <v>438</v>
      </c>
      <c r="H1347" s="193" t="s">
        <v>1370</v>
      </c>
      <c r="I1347" s="256">
        <v>203</v>
      </c>
      <c r="J1347" s="256">
        <v>20765</v>
      </c>
      <c r="K1347" s="568">
        <f t="shared" ref="K1347:K1349" si="213">ROUND(I1347*J1347,0)</f>
        <v>4215295</v>
      </c>
      <c r="L1347" s="39" t="s">
        <v>167</v>
      </c>
      <c r="M1347" s="39" t="s">
        <v>159</v>
      </c>
      <c r="N1347" s="52" t="str">
        <f>IF(AND('331-CT'!$E$7=TH!H1347,OR(L1347="331",M1347="331")),"331",IF(AND(OR(L1347="131",M1347="131"),H1347='131-CT'!$E$7),"131",""))</f>
        <v/>
      </c>
      <c r="O1347" s="89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15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211"/>
        <v>2</v>
      </c>
      <c r="C1348" s="37">
        <f t="shared" si="212"/>
        <v>41686</v>
      </c>
      <c r="D1348" s="191" t="s">
        <v>1382</v>
      </c>
      <c r="E1348" s="191">
        <v>41686</v>
      </c>
      <c r="F1348" s="192" t="s">
        <v>1350</v>
      </c>
      <c r="G1348" s="468" t="s">
        <v>441</v>
      </c>
      <c r="H1348" s="193" t="s">
        <v>1370</v>
      </c>
      <c r="I1348" s="256">
        <v>100</v>
      </c>
      <c r="J1348" s="256">
        <v>23890</v>
      </c>
      <c r="K1348" s="568">
        <f t="shared" si="213"/>
        <v>2389000</v>
      </c>
      <c r="L1348" s="39" t="s">
        <v>167</v>
      </c>
      <c r="M1348" s="39" t="s">
        <v>159</v>
      </c>
      <c r="N1348" s="52" t="str">
        <f>IF(AND('331-CT'!$E$7=TH!H1348,OR(L1348="331",M1348="331")),"331",IF(AND(OR(L1348="131",M1348="131"),H1348='131-CT'!$E$7),"131",""))</f>
        <v/>
      </c>
      <c r="O1348" s="89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15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211"/>
        <v>2</v>
      </c>
      <c r="C1349" s="37">
        <f t="shared" si="212"/>
        <v>41687</v>
      </c>
      <c r="D1349" s="191" t="s">
        <v>1382</v>
      </c>
      <c r="E1349" s="191">
        <v>41687</v>
      </c>
      <c r="F1349" s="192" t="s">
        <v>1328</v>
      </c>
      <c r="G1349" s="468" t="s">
        <v>443</v>
      </c>
      <c r="H1349" s="193" t="s">
        <v>1370</v>
      </c>
      <c r="I1349" s="256">
        <v>100</v>
      </c>
      <c r="J1349" s="256">
        <v>23210</v>
      </c>
      <c r="K1349" s="568">
        <f t="shared" si="213"/>
        <v>2321000</v>
      </c>
      <c r="L1349" s="39" t="s">
        <v>167</v>
      </c>
      <c r="M1349" s="39" t="s">
        <v>159</v>
      </c>
      <c r="N1349" s="52" t="str">
        <f>IF(AND('331-CT'!$E$7=TH!H1349,OR(L1349="331",M1349="331")),"331",IF(AND(OR(L1349="131",M1349="131"),H1349='131-CT'!$E$7),"131",""))</f>
        <v/>
      </c>
      <c r="O1349" s="89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15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208"/>
        <v>2</v>
      </c>
      <c r="C1350" s="37">
        <f t="shared" si="209"/>
        <v>41687</v>
      </c>
      <c r="D1350" s="191" t="s">
        <v>1382</v>
      </c>
      <c r="E1350" s="191">
        <v>41687</v>
      </c>
      <c r="F1350" s="192" t="s">
        <v>1329</v>
      </c>
      <c r="G1350" s="468" t="s">
        <v>443</v>
      </c>
      <c r="H1350" s="193" t="s">
        <v>1370</v>
      </c>
      <c r="I1350" s="256">
        <v>100</v>
      </c>
      <c r="J1350" s="256">
        <v>21848</v>
      </c>
      <c r="K1350" s="568">
        <f t="shared" si="210"/>
        <v>2184800</v>
      </c>
      <c r="L1350" s="39" t="s">
        <v>167</v>
      </c>
      <c r="M1350" s="39" t="s">
        <v>159</v>
      </c>
      <c r="N1350" s="52" t="str">
        <f>IF(AND('331-CT'!$E$7=TH!H1350,OR(L1350="331",M1350="331")),"331",IF(AND(OR(L1350="131",M1350="131"),H1350='131-CT'!$E$7),"131",""))</f>
        <v/>
      </c>
      <c r="O1350" s="89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15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208"/>
        <v>2</v>
      </c>
      <c r="C1351" s="37">
        <f t="shared" si="209"/>
        <v>41688</v>
      </c>
      <c r="D1351" s="191" t="s">
        <v>1382</v>
      </c>
      <c r="E1351" s="191">
        <v>41688</v>
      </c>
      <c r="F1351" s="192" t="s">
        <v>1360</v>
      </c>
      <c r="G1351" s="468" t="s">
        <v>444</v>
      </c>
      <c r="H1351" s="193" t="s">
        <v>1370</v>
      </c>
      <c r="I1351" s="256">
        <v>305</v>
      </c>
      <c r="J1351" s="256">
        <v>14813</v>
      </c>
      <c r="K1351" s="568">
        <f t="shared" si="210"/>
        <v>4517965</v>
      </c>
      <c r="L1351" s="39" t="s">
        <v>167</v>
      </c>
      <c r="M1351" s="39" t="s">
        <v>159</v>
      </c>
      <c r="N1351" s="52" t="str">
        <f>IF(AND('331-CT'!$E$7=TH!H1351,OR(L1351="331",M1351="331")),"331",IF(AND(OR(L1351="131",M1351="131"),H1351='131-CT'!$E$7),"131",""))</f>
        <v/>
      </c>
      <c r="O1351" s="89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15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ref="B1352" si="214">IF(C1352&lt;&gt;"",MONTH(C1352),"")</f>
        <v>2</v>
      </c>
      <c r="C1352" s="37">
        <f t="shared" ref="C1352" si="215">E1352</f>
        <v>41688</v>
      </c>
      <c r="D1352" s="191" t="s">
        <v>1382</v>
      </c>
      <c r="E1352" s="191">
        <v>41688</v>
      </c>
      <c r="F1352" s="192" t="s">
        <v>1335</v>
      </c>
      <c r="G1352" s="468" t="s">
        <v>444</v>
      </c>
      <c r="H1352" s="193" t="s">
        <v>1370</v>
      </c>
      <c r="I1352" s="256">
        <v>188</v>
      </c>
      <c r="J1352" s="256">
        <v>13125</v>
      </c>
      <c r="K1352" s="568">
        <f t="shared" ref="K1352" si="216">ROUND(I1352*J1352,0)</f>
        <v>2467500</v>
      </c>
      <c r="L1352" s="39" t="s">
        <v>167</v>
      </c>
      <c r="M1352" s="39" t="s">
        <v>159</v>
      </c>
      <c r="N1352" s="52" t="str">
        <f>IF(AND('331-CT'!$E$7=TH!H1352,OR(L1352="331",M1352="331")),"331",IF(AND(OR(L1352="131",M1352="131"),H1352='131-CT'!$E$7),"131",""))</f>
        <v/>
      </c>
      <c r="O1352" s="89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15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208"/>
        <v>2</v>
      </c>
      <c r="C1353" s="37">
        <f t="shared" si="209"/>
        <v>41688</v>
      </c>
      <c r="D1353" s="191" t="s">
        <v>1382</v>
      </c>
      <c r="E1353" s="191">
        <v>41688</v>
      </c>
      <c r="F1353" s="192" t="s">
        <v>1341</v>
      </c>
      <c r="G1353" s="468" t="s">
        <v>444</v>
      </c>
      <c r="H1353" s="193" t="s">
        <v>1370</v>
      </c>
      <c r="I1353" s="256">
        <v>142</v>
      </c>
      <c r="J1353" s="256">
        <v>18617</v>
      </c>
      <c r="K1353" s="568">
        <f t="shared" si="210"/>
        <v>2643614</v>
      </c>
      <c r="L1353" s="39" t="s">
        <v>167</v>
      </c>
      <c r="M1353" s="39" t="s">
        <v>159</v>
      </c>
      <c r="N1353" s="52" t="str">
        <f>IF(AND('331-CT'!$E$7=TH!H1353,OR(L1353="331",M1353="331")),"331",IF(AND(OR(L1353="131",M1353="131"),H1353='131-CT'!$E$7),"131",""))</f>
        <v/>
      </c>
      <c r="O1353" s="89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15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208"/>
        <v>2</v>
      </c>
      <c r="C1354" s="37">
        <f t="shared" si="209"/>
        <v>41691</v>
      </c>
      <c r="D1354" s="191" t="s">
        <v>1382</v>
      </c>
      <c r="E1354" s="191">
        <v>41691</v>
      </c>
      <c r="F1354" s="192" t="s">
        <v>1358</v>
      </c>
      <c r="G1354" s="468" t="s">
        <v>445</v>
      </c>
      <c r="H1354" s="193" t="s">
        <v>1370</v>
      </c>
      <c r="I1354" s="256">
        <v>250</v>
      </c>
      <c r="J1354" s="256">
        <v>26903</v>
      </c>
      <c r="K1354" s="568">
        <f t="shared" si="210"/>
        <v>6725750</v>
      </c>
      <c r="L1354" s="39" t="s">
        <v>167</v>
      </c>
      <c r="M1354" s="39" t="s">
        <v>159</v>
      </c>
      <c r="N1354" s="52" t="str">
        <f>IF(AND('331-CT'!$E$7=TH!H1354,OR(L1354="331",M1354="331")),"331",IF(AND(OR(L1354="131",M1354="131"),H1354='131-CT'!$E$7),"131",""))</f>
        <v/>
      </c>
      <c r="O1354" s="89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15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208"/>
        <v>2</v>
      </c>
      <c r="C1355" s="37">
        <f t="shared" si="209"/>
        <v>41691</v>
      </c>
      <c r="D1355" s="191" t="s">
        <v>1382</v>
      </c>
      <c r="E1355" s="191">
        <v>41691</v>
      </c>
      <c r="F1355" s="192" t="s">
        <v>1355</v>
      </c>
      <c r="G1355" s="468" t="s">
        <v>445</v>
      </c>
      <c r="H1355" s="193" t="s">
        <v>1370</v>
      </c>
      <c r="I1355" s="256">
        <v>50</v>
      </c>
      <c r="J1355" s="256">
        <v>20420</v>
      </c>
      <c r="K1355" s="568">
        <f t="shared" si="210"/>
        <v>1021000</v>
      </c>
      <c r="L1355" s="39" t="s">
        <v>167</v>
      </c>
      <c r="M1355" s="39" t="s">
        <v>159</v>
      </c>
      <c r="N1355" s="52" t="str">
        <f>IF(AND('331-CT'!$E$7=TH!H1355,OR(L1355="331",M1355="331")),"331",IF(AND(OR(L1355="131",M1355="131"),H1355='131-CT'!$E$7),"131",""))</f>
        <v/>
      </c>
      <c r="O1355" s="89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15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208"/>
        <v>2</v>
      </c>
      <c r="C1356" s="37">
        <f t="shared" si="209"/>
        <v>41694</v>
      </c>
      <c r="D1356" s="191" t="s">
        <v>1382</v>
      </c>
      <c r="E1356" s="191">
        <v>41694</v>
      </c>
      <c r="F1356" s="192" t="s">
        <v>999</v>
      </c>
      <c r="G1356" s="468" t="s">
        <v>448</v>
      </c>
      <c r="H1356" s="193" t="s">
        <v>1370</v>
      </c>
      <c r="I1356" s="256">
        <v>500</v>
      </c>
      <c r="J1356" s="256">
        <v>15220</v>
      </c>
      <c r="K1356" s="568">
        <f t="shared" si="210"/>
        <v>7610000</v>
      </c>
      <c r="L1356" s="39" t="s">
        <v>167</v>
      </c>
      <c r="M1356" s="39" t="s">
        <v>159</v>
      </c>
      <c r="N1356" s="52" t="str">
        <f>IF(AND('331-CT'!$E$7=TH!H1356,OR(L1356="331",M1356="331")),"331",IF(AND(OR(L1356="131",M1356="131"),H1356='131-CT'!$E$7),"131",""))</f>
        <v/>
      </c>
      <c r="O1356" s="89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15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208"/>
        <v>2</v>
      </c>
      <c r="C1357" s="37">
        <f t="shared" si="209"/>
        <v>41695</v>
      </c>
      <c r="D1357" s="191" t="s">
        <v>1382</v>
      </c>
      <c r="E1357" s="191">
        <v>41695</v>
      </c>
      <c r="F1357" s="192" t="s">
        <v>1365</v>
      </c>
      <c r="G1357" s="468" t="s">
        <v>450</v>
      </c>
      <c r="H1357" s="193" t="s">
        <v>1370</v>
      </c>
      <c r="I1357" s="256">
        <v>135</v>
      </c>
      <c r="J1357" s="256">
        <v>12665</v>
      </c>
      <c r="K1357" s="568">
        <f t="shared" si="210"/>
        <v>1709775</v>
      </c>
      <c r="L1357" s="39" t="s">
        <v>167</v>
      </c>
      <c r="M1357" s="39" t="s">
        <v>159</v>
      </c>
      <c r="N1357" s="52" t="str">
        <f>IF(AND('331-CT'!$E$7=TH!H1357,OR(L1357="331",M1357="331")),"331",IF(AND(OR(L1357="131",M1357="131"),H1357='131-CT'!$E$7),"131",""))</f>
        <v/>
      </c>
      <c r="O1357" s="89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15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208"/>
        <v>2</v>
      </c>
      <c r="C1358" s="37">
        <f t="shared" si="209"/>
        <v>41695</v>
      </c>
      <c r="D1358" s="191" t="s">
        <v>1382</v>
      </c>
      <c r="E1358" s="191">
        <v>41695</v>
      </c>
      <c r="F1358" s="192" t="s">
        <v>1346</v>
      </c>
      <c r="G1358" s="468" t="s">
        <v>450</v>
      </c>
      <c r="H1358" s="193" t="s">
        <v>1370</v>
      </c>
      <c r="I1358" s="256">
        <v>206</v>
      </c>
      <c r="J1358" s="256">
        <v>19958</v>
      </c>
      <c r="K1358" s="568">
        <f t="shared" si="210"/>
        <v>4111348</v>
      </c>
      <c r="L1358" s="39" t="s">
        <v>167</v>
      </c>
      <c r="M1358" s="39" t="s">
        <v>159</v>
      </c>
      <c r="N1358" s="52" t="str">
        <f>IF(AND('331-CT'!$E$7=TH!H1358,OR(L1358="331",M1358="331")),"331",IF(AND(OR(L1358="131",M1358="131"),H1358='131-CT'!$E$7),"131",""))</f>
        <v/>
      </c>
      <c r="O1358" s="89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15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208"/>
        <v>2</v>
      </c>
      <c r="C1359" s="37">
        <f t="shared" si="209"/>
        <v>41695</v>
      </c>
      <c r="D1359" s="191" t="s">
        <v>1382</v>
      </c>
      <c r="E1359" s="191">
        <v>41695</v>
      </c>
      <c r="F1359" s="192" t="s">
        <v>1363</v>
      </c>
      <c r="G1359" s="468" t="s">
        <v>450</v>
      </c>
      <c r="H1359" s="193" t="s">
        <v>1370</v>
      </c>
      <c r="I1359" s="256">
        <v>406</v>
      </c>
      <c r="J1359" s="256">
        <v>8462.4187192118225</v>
      </c>
      <c r="K1359" s="568">
        <f t="shared" si="210"/>
        <v>3435742</v>
      </c>
      <c r="L1359" s="39" t="s">
        <v>167</v>
      </c>
      <c r="M1359" s="39" t="s">
        <v>159</v>
      </c>
      <c r="N1359" s="52" t="str">
        <f>IF(AND('331-CT'!$E$7=TH!H1359,OR(L1359="331",M1359="331")),"331",IF(AND(OR(L1359="131",M1359="131"),H1359='131-CT'!$E$7),"131",""))</f>
        <v/>
      </c>
      <c r="O1359" s="89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15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208"/>
        <v>2</v>
      </c>
      <c r="C1360" s="37">
        <f t="shared" si="209"/>
        <v>41695</v>
      </c>
      <c r="D1360" s="191" t="s">
        <v>1382</v>
      </c>
      <c r="E1360" s="191">
        <v>41695</v>
      </c>
      <c r="F1360" s="192" t="s">
        <v>1330</v>
      </c>
      <c r="G1360" s="468" t="s">
        <v>450</v>
      </c>
      <c r="H1360" s="193" t="s">
        <v>1370</v>
      </c>
      <c r="I1360" s="256">
        <v>50</v>
      </c>
      <c r="J1360" s="256">
        <v>28987</v>
      </c>
      <c r="K1360" s="568">
        <f t="shared" si="210"/>
        <v>1449350</v>
      </c>
      <c r="L1360" s="39" t="s">
        <v>167</v>
      </c>
      <c r="M1360" s="39" t="s">
        <v>159</v>
      </c>
      <c r="N1360" s="52" t="str">
        <f>IF(AND('331-CT'!$E$7=TH!H1360,OR(L1360="331",M1360="331")),"331",IF(AND(OR(L1360="131",M1360="131"),H1360='131-CT'!$E$7),"131",""))</f>
        <v/>
      </c>
      <c r="O1360" s="89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15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208"/>
        <v>2</v>
      </c>
      <c r="C1361" s="37">
        <f t="shared" si="209"/>
        <v>41695</v>
      </c>
      <c r="D1361" s="191" t="s">
        <v>1382</v>
      </c>
      <c r="E1361" s="191">
        <v>41695</v>
      </c>
      <c r="F1361" s="192" t="s">
        <v>1354</v>
      </c>
      <c r="G1361" s="468" t="s">
        <v>454</v>
      </c>
      <c r="H1361" s="193" t="s">
        <v>1370</v>
      </c>
      <c r="I1361" s="256">
        <v>150</v>
      </c>
      <c r="J1361" s="256">
        <v>15456</v>
      </c>
      <c r="K1361" s="568">
        <f t="shared" si="210"/>
        <v>2318400</v>
      </c>
      <c r="L1361" s="39" t="s">
        <v>167</v>
      </c>
      <c r="M1361" s="39" t="s">
        <v>159</v>
      </c>
      <c r="N1361" s="52" t="str">
        <f>IF(AND('331-CT'!$E$7=TH!H1361,OR(L1361="331",M1361="331")),"331",IF(AND(OR(L1361="131",M1361="131"),H1361='131-CT'!$E$7),"131",""))</f>
        <v/>
      </c>
      <c r="O1361" s="89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15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208"/>
        <v>2</v>
      </c>
      <c r="C1362" s="37">
        <f t="shared" si="209"/>
        <v>41695</v>
      </c>
      <c r="D1362" s="191" t="s">
        <v>1382</v>
      </c>
      <c r="E1362" s="191">
        <v>41695</v>
      </c>
      <c r="F1362" s="192" t="s">
        <v>1351</v>
      </c>
      <c r="G1362" s="468" t="s">
        <v>454</v>
      </c>
      <c r="H1362" s="193" t="s">
        <v>1370</v>
      </c>
      <c r="I1362" s="256">
        <v>114</v>
      </c>
      <c r="J1362" s="256">
        <v>21888</v>
      </c>
      <c r="K1362" s="568">
        <f t="shared" si="210"/>
        <v>2495232</v>
      </c>
      <c r="L1362" s="39" t="s">
        <v>167</v>
      </c>
      <c r="M1362" s="39" t="s">
        <v>159</v>
      </c>
      <c r="N1362" s="52" t="str">
        <f>IF(AND('331-CT'!$E$7=TH!H1362,OR(L1362="331",M1362="331")),"331",IF(AND(OR(L1362="131",M1362="131"),H1362='131-CT'!$E$7),"131",""))</f>
        <v/>
      </c>
      <c r="O1362" s="89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15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208"/>
        <v>2</v>
      </c>
      <c r="C1363" s="37">
        <f t="shared" si="209"/>
        <v>41695</v>
      </c>
      <c r="D1363" s="191" t="s">
        <v>1382</v>
      </c>
      <c r="E1363" s="191">
        <v>41695</v>
      </c>
      <c r="F1363" s="192" t="s">
        <v>1330</v>
      </c>
      <c r="G1363" s="468" t="s">
        <v>454</v>
      </c>
      <c r="H1363" s="193" t="s">
        <v>1370</v>
      </c>
      <c r="I1363" s="256">
        <v>26</v>
      </c>
      <c r="J1363" s="256">
        <v>28987</v>
      </c>
      <c r="K1363" s="568">
        <f t="shared" si="210"/>
        <v>753662</v>
      </c>
      <c r="L1363" s="39" t="s">
        <v>167</v>
      </c>
      <c r="M1363" s="39" t="s">
        <v>159</v>
      </c>
      <c r="N1363" s="52" t="str">
        <f>IF(AND('331-CT'!$E$7=TH!H1363,OR(L1363="331",M1363="331")),"331",IF(AND(OR(L1363="131",M1363="131"),H1363='131-CT'!$E$7),"131",""))</f>
        <v/>
      </c>
      <c r="O1363" s="89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15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208"/>
        <v>2</v>
      </c>
      <c r="C1364" s="37">
        <f t="shared" si="209"/>
        <v>41695</v>
      </c>
      <c r="D1364" s="191" t="s">
        <v>1382</v>
      </c>
      <c r="E1364" s="191">
        <v>41695</v>
      </c>
      <c r="F1364" s="192" t="s">
        <v>1352</v>
      </c>
      <c r="G1364" s="468" t="s">
        <v>458</v>
      </c>
      <c r="H1364" s="193" t="s">
        <v>1370</v>
      </c>
      <c r="I1364" s="256">
        <v>100</v>
      </c>
      <c r="J1364" s="256">
        <v>25603</v>
      </c>
      <c r="K1364" s="568">
        <f t="shared" si="210"/>
        <v>2560300</v>
      </c>
      <c r="L1364" s="39" t="s">
        <v>167</v>
      </c>
      <c r="M1364" s="39" t="s">
        <v>159</v>
      </c>
      <c r="N1364" s="52" t="str">
        <f>IF(AND('331-CT'!$E$7=TH!H1364,OR(L1364="331",M1364="331")),"331",IF(AND(OR(L1364="131",M1364="131"),H1364='131-CT'!$E$7),"131",""))</f>
        <v/>
      </c>
      <c r="O1364" s="89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15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208"/>
        <v>3</v>
      </c>
      <c r="C1365" s="37">
        <f t="shared" si="209"/>
        <v>41699</v>
      </c>
      <c r="D1365" s="191" t="s">
        <v>1382</v>
      </c>
      <c r="E1365" s="191">
        <v>41699</v>
      </c>
      <c r="F1365" s="192" t="s">
        <v>1001</v>
      </c>
      <c r="G1365" s="468" t="s">
        <v>461</v>
      </c>
      <c r="H1365" s="193" t="s">
        <v>1370</v>
      </c>
      <c r="I1365" s="256">
        <v>600</v>
      </c>
      <c r="J1365" s="256">
        <v>13400</v>
      </c>
      <c r="K1365" s="568">
        <f t="shared" si="210"/>
        <v>8040000</v>
      </c>
      <c r="L1365" s="39" t="s">
        <v>167</v>
      </c>
      <c r="M1365" s="39" t="s">
        <v>159</v>
      </c>
      <c r="N1365" s="52" t="str">
        <f>IF(AND('331-CT'!$E$7=TH!H1365,OR(L1365="331",M1365="331")),"331",IF(AND(OR(L1365="131",M1365="131"),H1365='131-CT'!$E$7),"131",""))</f>
        <v/>
      </c>
      <c r="O1365" s="89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15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208"/>
        <v>3</v>
      </c>
      <c r="C1366" s="37">
        <f t="shared" si="209"/>
        <v>41701</v>
      </c>
      <c r="D1366" s="191" t="s">
        <v>1382</v>
      </c>
      <c r="E1366" s="191">
        <v>41701</v>
      </c>
      <c r="F1366" s="192" t="s">
        <v>1361</v>
      </c>
      <c r="G1366" s="468" t="s">
        <v>463</v>
      </c>
      <c r="H1366" s="193" t="s">
        <v>1370</v>
      </c>
      <c r="I1366" s="256">
        <v>250</v>
      </c>
      <c r="J1366" s="256">
        <v>17792</v>
      </c>
      <c r="K1366" s="568">
        <f t="shared" si="210"/>
        <v>4448000</v>
      </c>
      <c r="L1366" s="39" t="s">
        <v>167</v>
      </c>
      <c r="M1366" s="39" t="s">
        <v>159</v>
      </c>
      <c r="N1366" s="52" t="str">
        <f>IF(AND('331-CT'!$E$7=TH!H1366,OR(L1366="331",M1366="331")),"331",IF(AND(OR(L1366="131",M1366="131"),H1366='131-CT'!$E$7),"131",""))</f>
        <v/>
      </c>
      <c r="O1366" s="89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15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208"/>
        <v>3</v>
      </c>
      <c r="C1367" s="37">
        <f t="shared" si="209"/>
        <v>41701</v>
      </c>
      <c r="D1367" s="191" t="s">
        <v>1382</v>
      </c>
      <c r="E1367" s="191">
        <v>41701</v>
      </c>
      <c r="F1367" s="192" t="s">
        <v>1001</v>
      </c>
      <c r="G1367" s="468" t="s">
        <v>463</v>
      </c>
      <c r="H1367" s="193" t="s">
        <v>1370</v>
      </c>
      <c r="I1367" s="256">
        <v>412</v>
      </c>
      <c r="J1367" s="256">
        <v>13400</v>
      </c>
      <c r="K1367" s="568">
        <f t="shared" si="210"/>
        <v>5520800</v>
      </c>
      <c r="L1367" s="39" t="s">
        <v>167</v>
      </c>
      <c r="M1367" s="39" t="s">
        <v>159</v>
      </c>
      <c r="N1367" s="52" t="str">
        <f>IF(AND('331-CT'!$E$7=TH!H1367,OR(L1367="331",M1367="331")),"331",IF(AND(OR(L1367="131",M1367="131"),H1367='131-CT'!$E$7),"131",""))</f>
        <v/>
      </c>
      <c r="O1367" s="89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15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208"/>
        <v>3</v>
      </c>
      <c r="C1368" s="37">
        <f t="shared" si="209"/>
        <v>41701</v>
      </c>
      <c r="D1368" s="191" t="s">
        <v>1382</v>
      </c>
      <c r="E1368" s="191">
        <v>41701</v>
      </c>
      <c r="F1368" s="192" t="s">
        <v>1344</v>
      </c>
      <c r="G1368" s="468" t="s">
        <v>465</v>
      </c>
      <c r="H1368" s="193" t="s">
        <v>1370</v>
      </c>
      <c r="I1368" s="256">
        <v>242</v>
      </c>
      <c r="J1368" s="256">
        <v>13306</v>
      </c>
      <c r="K1368" s="568">
        <f t="shared" si="210"/>
        <v>3220052</v>
      </c>
      <c r="L1368" s="39" t="s">
        <v>167</v>
      </c>
      <c r="M1368" s="39" t="s">
        <v>159</v>
      </c>
      <c r="N1368" s="52" t="str">
        <f>IF(AND('331-CT'!$E$7=TH!H1368,OR(L1368="331",M1368="331")),"331",IF(AND(OR(L1368="131",M1368="131"),H1368='131-CT'!$E$7),"131",""))</f>
        <v/>
      </c>
      <c r="O1368" s="89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15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208"/>
        <v>3</v>
      </c>
      <c r="C1369" s="37">
        <f t="shared" si="209"/>
        <v>41707</v>
      </c>
      <c r="D1369" s="191" t="s">
        <v>1382</v>
      </c>
      <c r="E1369" s="191">
        <v>41707</v>
      </c>
      <c r="F1369" s="192" t="s">
        <v>1340</v>
      </c>
      <c r="G1369" s="468" t="s">
        <v>468</v>
      </c>
      <c r="H1369" s="193" t="s">
        <v>1370</v>
      </c>
      <c r="I1369" s="256">
        <v>497</v>
      </c>
      <c r="J1369" s="256">
        <v>11416</v>
      </c>
      <c r="K1369" s="568">
        <f t="shared" si="210"/>
        <v>5673752</v>
      </c>
      <c r="L1369" s="39" t="s">
        <v>167</v>
      </c>
      <c r="M1369" s="39" t="s">
        <v>159</v>
      </c>
      <c r="N1369" s="52" t="str">
        <f>IF(AND('331-CT'!$E$7=TH!H1369,OR(L1369="331",M1369="331")),"331",IF(AND(OR(L1369="131",M1369="131"),H1369='131-CT'!$E$7),"131",""))</f>
        <v/>
      </c>
      <c r="O1369" s="89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15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208"/>
        <v>3</v>
      </c>
      <c r="C1370" s="37">
        <f t="shared" si="209"/>
        <v>41715</v>
      </c>
      <c r="D1370" s="191" t="s">
        <v>1382</v>
      </c>
      <c r="E1370" s="191">
        <v>41715</v>
      </c>
      <c r="F1370" s="192" t="s">
        <v>1334</v>
      </c>
      <c r="G1370" s="468" t="s">
        <v>469</v>
      </c>
      <c r="H1370" s="193" t="s">
        <v>1370</v>
      </c>
      <c r="I1370" s="256">
        <v>110</v>
      </c>
      <c r="J1370" s="256">
        <v>11059.2</v>
      </c>
      <c r="K1370" s="568">
        <f t="shared" si="210"/>
        <v>1216512</v>
      </c>
      <c r="L1370" s="39" t="s">
        <v>167</v>
      </c>
      <c r="M1370" s="39" t="s">
        <v>159</v>
      </c>
      <c r="N1370" s="52" t="str">
        <f>IF(AND('331-CT'!$E$7=TH!H1370,OR(L1370="331",M1370="331")),"331",IF(AND(OR(L1370="131",M1370="131"),H1370='131-CT'!$E$7),"131",""))</f>
        <v/>
      </c>
      <c r="O1370" s="89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15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208"/>
        <v>3</v>
      </c>
      <c r="C1371" s="37">
        <f t="shared" si="209"/>
        <v>41715</v>
      </c>
      <c r="D1371" s="191" t="s">
        <v>1382</v>
      </c>
      <c r="E1371" s="191">
        <v>41715</v>
      </c>
      <c r="F1371" s="192" t="s">
        <v>1364</v>
      </c>
      <c r="G1371" s="468" t="s">
        <v>469</v>
      </c>
      <c r="H1371" s="193" t="s">
        <v>1370</v>
      </c>
      <c r="I1371" s="256">
        <v>350</v>
      </c>
      <c r="J1371" s="256">
        <v>7823</v>
      </c>
      <c r="K1371" s="568">
        <f t="shared" si="210"/>
        <v>2738050</v>
      </c>
      <c r="L1371" s="39" t="s">
        <v>167</v>
      </c>
      <c r="M1371" s="39" t="s">
        <v>159</v>
      </c>
      <c r="N1371" s="52" t="str">
        <f>IF(AND('331-CT'!$E$7=TH!H1371,OR(L1371="331",M1371="331")),"331",IF(AND(OR(L1371="131",M1371="131"),H1371='131-CT'!$E$7),"131",""))</f>
        <v/>
      </c>
      <c r="O1371" s="89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15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208"/>
        <v>3</v>
      </c>
      <c r="C1372" s="37">
        <f t="shared" si="209"/>
        <v>41717</v>
      </c>
      <c r="D1372" s="191" t="s">
        <v>1382</v>
      </c>
      <c r="E1372" s="191">
        <v>41717</v>
      </c>
      <c r="F1372" s="192" t="s">
        <v>1362</v>
      </c>
      <c r="G1372" s="468" t="s">
        <v>472</v>
      </c>
      <c r="H1372" s="193" t="s">
        <v>1370</v>
      </c>
      <c r="I1372" s="256">
        <v>265</v>
      </c>
      <c r="J1372" s="256">
        <v>14434</v>
      </c>
      <c r="K1372" s="568">
        <f t="shared" si="210"/>
        <v>3825010</v>
      </c>
      <c r="L1372" s="39" t="s">
        <v>167</v>
      </c>
      <c r="M1372" s="39" t="s">
        <v>159</v>
      </c>
      <c r="N1372" s="52" t="str">
        <f>IF(AND('331-CT'!$E$7=TH!H1372,OR(L1372="331",M1372="331")),"331",IF(AND(OR(L1372="131",M1372="131"),H1372='131-CT'!$E$7),"131",""))</f>
        <v/>
      </c>
      <c r="O1372" s="89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15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208"/>
        <v>3</v>
      </c>
      <c r="C1373" s="37">
        <f t="shared" si="209"/>
        <v>41721</v>
      </c>
      <c r="D1373" s="191" t="s">
        <v>1382</v>
      </c>
      <c r="E1373" s="191">
        <v>41721</v>
      </c>
      <c r="F1373" s="192" t="s">
        <v>1008</v>
      </c>
      <c r="G1373" s="468" t="s">
        <v>475</v>
      </c>
      <c r="H1373" s="193" t="s">
        <v>1370</v>
      </c>
      <c r="I1373" s="256">
        <v>515</v>
      </c>
      <c r="J1373" s="256">
        <v>20620</v>
      </c>
      <c r="K1373" s="568">
        <f t="shared" si="210"/>
        <v>10619300</v>
      </c>
      <c r="L1373" s="39" t="s">
        <v>167</v>
      </c>
      <c r="M1373" s="39" t="s">
        <v>159</v>
      </c>
      <c r="N1373" s="52" t="str">
        <f>IF(AND('331-CT'!$E$7=TH!H1373,OR(L1373="331",M1373="331")),"331",IF(AND(OR(L1373="131",M1373="131"),H1373='131-CT'!$E$7),"131",""))</f>
        <v/>
      </c>
      <c r="O1373" s="89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15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208"/>
        <v>3</v>
      </c>
      <c r="C1374" s="37">
        <f t="shared" si="209"/>
        <v>41725</v>
      </c>
      <c r="D1374" s="191" t="s">
        <v>1382</v>
      </c>
      <c r="E1374" s="191">
        <v>41725</v>
      </c>
      <c r="F1374" s="192" t="s">
        <v>1336</v>
      </c>
      <c r="G1374" s="468" t="s">
        <v>477</v>
      </c>
      <c r="H1374" s="193" t="s">
        <v>1370</v>
      </c>
      <c r="I1374" s="256">
        <v>40</v>
      </c>
      <c r="J1374" s="256">
        <v>15724</v>
      </c>
      <c r="K1374" s="568">
        <f t="shared" si="210"/>
        <v>628960</v>
      </c>
      <c r="L1374" s="39" t="s">
        <v>167</v>
      </c>
      <c r="M1374" s="39" t="s">
        <v>159</v>
      </c>
      <c r="N1374" s="52" t="str">
        <f>IF(AND('331-CT'!$E$7=TH!H1374,OR(L1374="331",M1374="331")),"331",IF(AND(OR(L1374="131",M1374="131"),H1374='131-CT'!$E$7),"131",""))</f>
        <v/>
      </c>
      <c r="O1374" s="89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15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208"/>
        <v>3</v>
      </c>
      <c r="C1375" s="37">
        <f t="shared" si="209"/>
        <v>41725</v>
      </c>
      <c r="D1375" s="191" t="s">
        <v>1382</v>
      </c>
      <c r="E1375" s="191">
        <v>41725</v>
      </c>
      <c r="F1375" s="192" t="s">
        <v>1336</v>
      </c>
      <c r="G1375" s="468" t="s">
        <v>477</v>
      </c>
      <c r="H1375" s="193" t="s">
        <v>1370</v>
      </c>
      <c r="I1375" s="256">
        <v>60</v>
      </c>
      <c r="J1375" s="256">
        <v>15724</v>
      </c>
      <c r="K1375" s="568">
        <f t="shared" si="210"/>
        <v>943440</v>
      </c>
      <c r="L1375" s="39" t="s">
        <v>167</v>
      </c>
      <c r="M1375" s="39" t="s">
        <v>159</v>
      </c>
      <c r="N1375" s="52" t="str">
        <f>IF(AND('331-CT'!$E$7=TH!H1375,OR(L1375="331",M1375="331")),"331",IF(AND(OR(L1375="131",M1375="131"),H1375='131-CT'!$E$7),"131",""))</f>
        <v/>
      </c>
      <c r="O1375" s="89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15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208"/>
        <v>3</v>
      </c>
      <c r="C1376" s="37">
        <f t="shared" si="209"/>
        <v>41725</v>
      </c>
      <c r="D1376" s="191" t="s">
        <v>1382</v>
      </c>
      <c r="E1376" s="191">
        <v>41725</v>
      </c>
      <c r="F1376" s="192" t="s">
        <v>1334</v>
      </c>
      <c r="G1376" s="468" t="s">
        <v>477</v>
      </c>
      <c r="H1376" s="193" t="s">
        <v>1370</v>
      </c>
      <c r="I1376" s="256">
        <v>40</v>
      </c>
      <c r="J1376" s="256">
        <v>11059.2</v>
      </c>
      <c r="K1376" s="568">
        <f t="shared" si="210"/>
        <v>442368</v>
      </c>
      <c r="L1376" s="39" t="s">
        <v>167</v>
      </c>
      <c r="M1376" s="39" t="s">
        <v>159</v>
      </c>
      <c r="N1376" s="52" t="str">
        <f>IF(AND('331-CT'!$E$7=TH!H1376,OR(L1376="331",M1376="331")),"331",IF(AND(OR(L1376="131",M1376="131"),H1376='131-CT'!$E$7),"131",""))</f>
        <v/>
      </c>
      <c r="O1376" s="89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15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208"/>
        <v>3</v>
      </c>
      <c r="C1377" s="37">
        <f t="shared" si="209"/>
        <v>41725</v>
      </c>
      <c r="D1377" s="191" t="s">
        <v>1382</v>
      </c>
      <c r="E1377" s="191">
        <v>41725</v>
      </c>
      <c r="F1377" s="192" t="s">
        <v>1334</v>
      </c>
      <c r="G1377" s="468" t="s">
        <v>477</v>
      </c>
      <c r="H1377" s="193" t="s">
        <v>1370</v>
      </c>
      <c r="I1377" s="256">
        <v>50</v>
      </c>
      <c r="J1377" s="256">
        <v>11059.2</v>
      </c>
      <c r="K1377" s="568">
        <f t="shared" si="210"/>
        <v>552960</v>
      </c>
      <c r="L1377" s="39" t="s">
        <v>167</v>
      </c>
      <c r="M1377" s="39" t="s">
        <v>159</v>
      </c>
      <c r="N1377" s="52" t="str">
        <f>IF(AND('331-CT'!$E$7=TH!H1377,OR(L1377="331",M1377="331")),"331",IF(AND(OR(L1377="131",M1377="131"),H1377='131-CT'!$E$7),"131",""))</f>
        <v/>
      </c>
      <c r="O1377" s="89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15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208"/>
        <v>3</v>
      </c>
      <c r="C1378" s="37">
        <f t="shared" si="209"/>
        <v>41725</v>
      </c>
      <c r="D1378" s="191" t="s">
        <v>1382</v>
      </c>
      <c r="E1378" s="191">
        <v>41725</v>
      </c>
      <c r="F1378" s="192" t="s">
        <v>1008</v>
      </c>
      <c r="G1378" s="468" t="s">
        <v>483</v>
      </c>
      <c r="H1378" s="193" t="s">
        <v>1370</v>
      </c>
      <c r="I1378" s="256">
        <v>355</v>
      </c>
      <c r="J1378" s="256">
        <v>20620</v>
      </c>
      <c r="K1378" s="568">
        <f t="shared" si="210"/>
        <v>7320100</v>
      </c>
      <c r="L1378" s="39" t="s">
        <v>167</v>
      </c>
      <c r="M1378" s="39" t="s">
        <v>159</v>
      </c>
      <c r="N1378" s="52" t="str">
        <f>IF(AND('331-CT'!$E$7=TH!H1378,OR(L1378="331",M1378="331")),"331",IF(AND(OR(L1378="131",M1378="131"),H1378='131-CT'!$E$7),"131",""))</f>
        <v/>
      </c>
      <c r="O1378" s="89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15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208"/>
        <v>3</v>
      </c>
      <c r="C1379" s="37">
        <f t="shared" si="209"/>
        <v>41725</v>
      </c>
      <c r="D1379" s="191" t="s">
        <v>1382</v>
      </c>
      <c r="E1379" s="191">
        <v>41725</v>
      </c>
      <c r="F1379" s="192" t="s">
        <v>1356</v>
      </c>
      <c r="G1379" s="468" t="s">
        <v>483</v>
      </c>
      <c r="H1379" s="193" t="s">
        <v>1370</v>
      </c>
      <c r="I1379" s="256">
        <v>60</v>
      </c>
      <c r="J1379" s="256">
        <v>17222</v>
      </c>
      <c r="K1379" s="568">
        <f t="shared" si="210"/>
        <v>1033320</v>
      </c>
      <c r="L1379" s="39" t="s">
        <v>167</v>
      </c>
      <c r="M1379" s="39" t="s">
        <v>159</v>
      </c>
      <c r="N1379" s="52" t="str">
        <f>IF(AND('331-CT'!$E$7=TH!H1379,OR(L1379="331",M1379="331")),"331",IF(AND(OR(L1379="131",M1379="131"),H1379='131-CT'!$E$7),"131",""))</f>
        <v/>
      </c>
      <c r="O1379" s="89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15"/>
    </row>
    <row r="1380" spans="1:28" s="856" customFormat="1" ht="15.75" customHeight="1">
      <c r="A1380" s="844" t="str">
        <f>IF(B1380&lt;&gt;"",IF(AND(B1380&gt;=_TM1,B1380&lt;=_TM2,OR(TH!L1380="1111",TH!M1380="1111")),TH!D1380,""),"")</f>
        <v/>
      </c>
      <c r="B1380" s="845">
        <f t="shared" si="208"/>
        <v>3</v>
      </c>
      <c r="C1380" s="933">
        <f t="shared" si="209"/>
        <v>41727</v>
      </c>
      <c r="D1380" s="191" t="s">
        <v>1382</v>
      </c>
      <c r="E1380" s="847">
        <v>41727</v>
      </c>
      <c r="F1380" s="857" t="s">
        <v>1183</v>
      </c>
      <c r="G1380" s="858" t="s">
        <v>485</v>
      </c>
      <c r="H1380" s="909" t="s">
        <v>1370</v>
      </c>
      <c r="I1380" s="851">
        <v>270</v>
      </c>
      <c r="J1380" s="851">
        <v>12615</v>
      </c>
      <c r="K1380" s="852">
        <f t="shared" si="210"/>
        <v>3406050</v>
      </c>
      <c r="L1380" s="843" t="s">
        <v>167</v>
      </c>
      <c r="M1380" s="843" t="s">
        <v>159</v>
      </c>
      <c r="N1380" s="52" t="str">
        <f>IF(AND('331-CT'!$E$7=TH!H1380,OR(L1380="331",M1380="331")),"331",IF(AND(OR(L1380="131",M1380="131"),H1380='131-CT'!$E$7),"131",""))</f>
        <v/>
      </c>
      <c r="O1380" s="89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54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208"/>
        <v>3</v>
      </c>
      <c r="C1381" s="37">
        <f t="shared" si="209"/>
        <v>41727</v>
      </c>
      <c r="D1381" s="191" t="s">
        <v>1382</v>
      </c>
      <c r="E1381" s="191">
        <v>41727</v>
      </c>
      <c r="F1381" s="192" t="s">
        <v>1164</v>
      </c>
      <c r="G1381" s="468" t="s">
        <v>485</v>
      </c>
      <c r="H1381" s="193" t="s">
        <v>1370</v>
      </c>
      <c r="I1381" s="256">
        <v>150</v>
      </c>
      <c r="J1381" s="256">
        <v>10513</v>
      </c>
      <c r="K1381" s="568">
        <f t="shared" si="210"/>
        <v>1576950</v>
      </c>
      <c r="L1381" s="39" t="s">
        <v>167</v>
      </c>
      <c r="M1381" s="39" t="s">
        <v>159</v>
      </c>
      <c r="N1381" s="52" t="str">
        <f>IF(AND('331-CT'!$E$7=TH!H1381,OR(L1381="331",M1381="331")),"331",IF(AND(OR(L1381="131",M1381="131"),H1381='131-CT'!$E$7),"131",""))</f>
        <v/>
      </c>
      <c r="O1381" s="89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15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208"/>
        <v>3</v>
      </c>
      <c r="C1382" s="37">
        <f t="shared" si="209"/>
        <v>41727</v>
      </c>
      <c r="D1382" s="191" t="s">
        <v>1382</v>
      </c>
      <c r="E1382" s="191">
        <v>41727</v>
      </c>
      <c r="F1382" s="192" t="s">
        <v>1177</v>
      </c>
      <c r="G1382" s="468" t="s">
        <v>485</v>
      </c>
      <c r="H1382" s="193" t="s">
        <v>1370</v>
      </c>
      <c r="I1382" s="256">
        <v>425</v>
      </c>
      <c r="J1382" s="256">
        <v>7888</v>
      </c>
      <c r="K1382" s="568">
        <f t="shared" si="210"/>
        <v>3352400</v>
      </c>
      <c r="L1382" s="39" t="s">
        <v>167</v>
      </c>
      <c r="M1382" s="39" t="s">
        <v>159</v>
      </c>
      <c r="N1382" s="52" t="str">
        <f>IF(AND('331-CT'!$E$7=TH!H1382,OR(L1382="331",M1382="331")),"331",IF(AND(OR(L1382="131",M1382="131"),H1382='131-CT'!$E$7),"131",""))</f>
        <v/>
      </c>
      <c r="O1382" s="89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15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208"/>
        <v>3</v>
      </c>
      <c r="C1383" s="37">
        <f t="shared" si="209"/>
        <v>41727</v>
      </c>
      <c r="D1383" s="191" t="s">
        <v>1382</v>
      </c>
      <c r="E1383" s="191">
        <v>41727</v>
      </c>
      <c r="F1383" s="192" t="s">
        <v>1182</v>
      </c>
      <c r="G1383" s="468" t="s">
        <v>485</v>
      </c>
      <c r="H1383" s="193" t="s">
        <v>1370</v>
      </c>
      <c r="I1383" s="256">
        <v>270</v>
      </c>
      <c r="J1383" s="256">
        <v>11020</v>
      </c>
      <c r="K1383" s="568">
        <f t="shared" si="210"/>
        <v>2975400</v>
      </c>
      <c r="L1383" s="39" t="s">
        <v>167</v>
      </c>
      <c r="M1383" s="39" t="s">
        <v>159</v>
      </c>
      <c r="N1383" s="52" t="str">
        <f>IF(AND('331-CT'!$E$7=TH!H1383,OR(L1383="331",M1383="331")),"331",IF(AND(OR(L1383="131",M1383="131"),H1383='131-CT'!$E$7),"131",""))</f>
        <v/>
      </c>
      <c r="O1383" s="89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15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208"/>
        <v>3</v>
      </c>
      <c r="C1384" s="37">
        <f t="shared" si="209"/>
        <v>41727</v>
      </c>
      <c r="D1384" s="191" t="s">
        <v>1382</v>
      </c>
      <c r="E1384" s="191">
        <v>41727</v>
      </c>
      <c r="F1384" s="192" t="s">
        <v>1099</v>
      </c>
      <c r="G1384" s="468" t="s">
        <v>490</v>
      </c>
      <c r="H1384" s="193" t="s">
        <v>1370</v>
      </c>
      <c r="I1384" s="256">
        <v>135</v>
      </c>
      <c r="J1384" s="256">
        <v>23957</v>
      </c>
      <c r="K1384" s="568">
        <f t="shared" si="210"/>
        <v>3234195</v>
      </c>
      <c r="L1384" s="39" t="s">
        <v>167</v>
      </c>
      <c r="M1384" s="39" t="s">
        <v>159</v>
      </c>
      <c r="N1384" s="52" t="str">
        <f>IF(AND('331-CT'!$E$7=TH!H1384,OR(L1384="331",M1384="331")),"331",IF(AND(OR(L1384="131",M1384="131"),H1384='131-CT'!$E$7),"131",""))</f>
        <v/>
      </c>
      <c r="O1384" s="89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15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208"/>
        <v>3</v>
      </c>
      <c r="C1385" s="37">
        <f t="shared" si="209"/>
        <v>41727</v>
      </c>
      <c r="D1385" s="191" t="s">
        <v>1382</v>
      </c>
      <c r="E1385" s="191">
        <v>41727</v>
      </c>
      <c r="F1385" s="192" t="s">
        <v>1185</v>
      </c>
      <c r="G1385" s="468" t="s">
        <v>490</v>
      </c>
      <c r="H1385" s="193" t="s">
        <v>1370</v>
      </c>
      <c r="I1385" s="256">
        <v>350</v>
      </c>
      <c r="J1385" s="256">
        <v>8549</v>
      </c>
      <c r="K1385" s="568">
        <f t="shared" si="210"/>
        <v>2992150</v>
      </c>
      <c r="L1385" s="39" t="s">
        <v>167</v>
      </c>
      <c r="M1385" s="39" t="s">
        <v>159</v>
      </c>
      <c r="N1385" s="52" t="str">
        <f>IF(AND('331-CT'!$E$7=TH!H1385,OR(L1385="331",M1385="331")),"331",IF(AND(OR(L1385="131",M1385="131"),H1385='131-CT'!$E$7),"131",""))</f>
        <v/>
      </c>
      <c r="O1385" s="89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15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208"/>
        <v>4</v>
      </c>
      <c r="C1386" s="37">
        <f t="shared" si="209"/>
        <v>41730</v>
      </c>
      <c r="D1386" s="191" t="s">
        <v>1382</v>
      </c>
      <c r="E1386" s="191">
        <v>41730</v>
      </c>
      <c r="F1386" s="192" t="s">
        <v>1098</v>
      </c>
      <c r="G1386" s="468" t="s">
        <v>494</v>
      </c>
      <c r="H1386" s="193" t="s">
        <v>1370</v>
      </c>
      <c r="I1386" s="256">
        <v>95</v>
      </c>
      <c r="J1386" s="256">
        <v>21683</v>
      </c>
      <c r="K1386" s="568">
        <f t="shared" si="210"/>
        <v>2059885</v>
      </c>
      <c r="L1386" s="39" t="s">
        <v>167</v>
      </c>
      <c r="M1386" s="39" t="s">
        <v>159</v>
      </c>
      <c r="N1386" s="52" t="str">
        <f>IF(AND('331-CT'!$E$7=TH!H1386,OR(L1386="331",M1386="331")),"331",IF(AND(OR(L1386="131",M1386="131"),H1386='131-CT'!$E$7),"131",""))</f>
        <v/>
      </c>
      <c r="O1386" s="89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>154</v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15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208"/>
        <v>4</v>
      </c>
      <c r="C1387" s="37">
        <f t="shared" si="209"/>
        <v>41730</v>
      </c>
      <c r="D1387" s="191" t="s">
        <v>1382</v>
      </c>
      <c r="E1387" s="191">
        <v>41730</v>
      </c>
      <c r="F1387" s="192" t="s">
        <v>1076</v>
      </c>
      <c r="G1387" s="468" t="s">
        <v>494</v>
      </c>
      <c r="H1387" s="193" t="s">
        <v>1370</v>
      </c>
      <c r="I1387" s="256">
        <v>200</v>
      </c>
      <c r="J1387" s="256">
        <v>17318</v>
      </c>
      <c r="K1387" s="568">
        <f t="shared" si="210"/>
        <v>3463600</v>
      </c>
      <c r="L1387" s="39" t="s">
        <v>167</v>
      </c>
      <c r="M1387" s="39" t="s">
        <v>159</v>
      </c>
      <c r="N1387" s="52" t="str">
        <f>IF(AND('331-CT'!$E$7=TH!H1387,OR(L1387="331",M1387="331")),"331",IF(AND(OR(L1387="131",M1387="131"),H1387='131-CT'!$E$7),"131",""))</f>
        <v/>
      </c>
      <c r="O1387" s="89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>154</v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15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208"/>
        <v>4</v>
      </c>
      <c r="C1388" s="37">
        <f t="shared" si="209"/>
        <v>41737</v>
      </c>
      <c r="D1388" s="191" t="s">
        <v>1382</v>
      </c>
      <c r="E1388" s="191">
        <v>41737</v>
      </c>
      <c r="F1388" s="192" t="s">
        <v>1180</v>
      </c>
      <c r="G1388" s="468" t="s">
        <v>496</v>
      </c>
      <c r="H1388" s="193" t="s">
        <v>1370</v>
      </c>
      <c r="I1388" s="256">
        <v>720</v>
      </c>
      <c r="J1388" s="256">
        <v>9161</v>
      </c>
      <c r="K1388" s="568">
        <f t="shared" si="210"/>
        <v>6595920</v>
      </c>
      <c r="L1388" s="39" t="s">
        <v>167</v>
      </c>
      <c r="M1388" s="39" t="s">
        <v>159</v>
      </c>
      <c r="N1388" s="52" t="str">
        <f>IF(AND('331-CT'!$E$7=TH!H1388,OR(L1388="331",M1388="331")),"331",IF(AND(OR(L1388="131",M1388="131"),H1388='131-CT'!$E$7),"131",""))</f>
        <v/>
      </c>
      <c r="O1388" s="89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>154</v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15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208"/>
        <v>4</v>
      </c>
      <c r="C1389" s="37">
        <f t="shared" si="209"/>
        <v>41737</v>
      </c>
      <c r="D1389" s="191" t="s">
        <v>1382</v>
      </c>
      <c r="E1389" s="191">
        <v>41737</v>
      </c>
      <c r="F1389" s="192" t="s">
        <v>1186</v>
      </c>
      <c r="G1389" s="468" t="s">
        <v>496</v>
      </c>
      <c r="H1389" s="193" t="s">
        <v>1370</v>
      </c>
      <c r="I1389" s="256">
        <v>126</v>
      </c>
      <c r="J1389" s="256">
        <v>19712</v>
      </c>
      <c r="K1389" s="568">
        <f t="shared" si="210"/>
        <v>2483712</v>
      </c>
      <c r="L1389" s="39" t="s">
        <v>167</v>
      </c>
      <c r="M1389" s="39" t="s">
        <v>159</v>
      </c>
      <c r="N1389" s="52" t="str">
        <f>IF(AND('331-CT'!$E$7=TH!H1389,OR(L1389="331",M1389="331")),"331",IF(AND(OR(L1389="131",M1389="131"),H1389='131-CT'!$E$7),"131",""))</f>
        <v/>
      </c>
      <c r="O1389" s="89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15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208"/>
        <v>4</v>
      </c>
      <c r="C1390" s="37">
        <f t="shared" si="209"/>
        <v>41741</v>
      </c>
      <c r="D1390" s="191" t="s">
        <v>1382</v>
      </c>
      <c r="E1390" s="191">
        <v>41741</v>
      </c>
      <c r="F1390" s="192" t="s">
        <v>1074</v>
      </c>
      <c r="G1390" s="468" t="s">
        <v>499</v>
      </c>
      <c r="H1390" s="193" t="s">
        <v>1370</v>
      </c>
      <c r="I1390" s="256">
        <v>50</v>
      </c>
      <c r="J1390" s="256">
        <v>14978</v>
      </c>
      <c r="K1390" s="568">
        <f t="shared" si="210"/>
        <v>748900</v>
      </c>
      <c r="L1390" s="39" t="s">
        <v>167</v>
      </c>
      <c r="M1390" s="39" t="s">
        <v>159</v>
      </c>
      <c r="N1390" s="52" t="str">
        <f>IF(AND('331-CT'!$E$7=TH!H1390,OR(L1390="331",M1390="331")),"331",IF(AND(OR(L1390="131",M1390="131"),H1390='131-CT'!$E$7),"131",""))</f>
        <v/>
      </c>
      <c r="O1390" s="89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15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208"/>
        <v>4</v>
      </c>
      <c r="C1391" s="37">
        <f t="shared" si="209"/>
        <v>41743</v>
      </c>
      <c r="D1391" s="191" t="s">
        <v>1382</v>
      </c>
      <c r="E1391" s="191">
        <v>41743</v>
      </c>
      <c r="F1391" s="192" t="s">
        <v>1165</v>
      </c>
      <c r="G1391" s="468" t="s">
        <v>500</v>
      </c>
      <c r="H1391" s="193" t="s">
        <v>1370</v>
      </c>
      <c r="I1391" s="256">
        <v>400</v>
      </c>
      <c r="J1391" s="256">
        <v>17618</v>
      </c>
      <c r="K1391" s="568">
        <f t="shared" si="210"/>
        <v>7047200</v>
      </c>
      <c r="L1391" s="39" t="s">
        <v>167</v>
      </c>
      <c r="M1391" s="39" t="s">
        <v>159</v>
      </c>
      <c r="N1391" s="52" t="str">
        <f>IF(AND('331-CT'!$E$7=TH!H1391,OR(L1391="331",M1391="331")),"331",IF(AND(OR(L1391="131",M1391="131"),H1391='131-CT'!$E$7),"131",""))</f>
        <v/>
      </c>
      <c r="O1391" s="89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15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208"/>
        <v>4</v>
      </c>
      <c r="C1392" s="37">
        <f t="shared" si="209"/>
        <v>41743</v>
      </c>
      <c r="D1392" s="191" t="s">
        <v>1382</v>
      </c>
      <c r="E1392" s="191">
        <v>41743</v>
      </c>
      <c r="F1392" s="192" t="s">
        <v>1200</v>
      </c>
      <c r="G1392" s="468" t="s">
        <v>502</v>
      </c>
      <c r="H1392" s="193" t="s">
        <v>1370</v>
      </c>
      <c r="I1392" s="256">
        <v>170</v>
      </c>
      <c r="J1392" s="256">
        <v>10495</v>
      </c>
      <c r="K1392" s="568">
        <f t="shared" si="210"/>
        <v>1784150</v>
      </c>
      <c r="L1392" s="39" t="s">
        <v>167</v>
      </c>
      <c r="M1392" s="39" t="s">
        <v>159</v>
      </c>
      <c r="N1392" s="52" t="str">
        <f>IF(AND('331-CT'!$E$7=TH!H1392,OR(L1392="331",M1392="331")),"331",IF(AND(OR(L1392="131",M1392="131"),H1392='131-CT'!$E$7),"131",""))</f>
        <v/>
      </c>
      <c r="O1392" s="89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15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208"/>
        <v>4</v>
      </c>
      <c r="C1393" s="37">
        <f t="shared" si="209"/>
        <v>41743</v>
      </c>
      <c r="D1393" s="191" t="s">
        <v>1382</v>
      </c>
      <c r="E1393" s="191">
        <v>41743</v>
      </c>
      <c r="F1393" s="192" t="s">
        <v>1188</v>
      </c>
      <c r="G1393" s="468" t="s">
        <v>502</v>
      </c>
      <c r="H1393" s="193" t="s">
        <v>1370</v>
      </c>
      <c r="I1393" s="256">
        <v>80</v>
      </c>
      <c r="J1393" s="256">
        <v>10261</v>
      </c>
      <c r="K1393" s="568">
        <f t="shared" si="210"/>
        <v>820880</v>
      </c>
      <c r="L1393" s="39" t="s">
        <v>167</v>
      </c>
      <c r="M1393" s="39" t="s">
        <v>159</v>
      </c>
      <c r="N1393" s="52" t="str">
        <f>IF(AND('331-CT'!$E$7=TH!H1393,OR(L1393="331",M1393="331")),"331",IF(AND(OR(L1393="131",M1393="131"),H1393='131-CT'!$E$7),"131",""))</f>
        <v/>
      </c>
      <c r="O1393" s="89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15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208"/>
        <v>4</v>
      </c>
      <c r="C1394" s="37">
        <f t="shared" si="209"/>
        <v>41743</v>
      </c>
      <c r="D1394" s="191" t="s">
        <v>1382</v>
      </c>
      <c r="E1394" s="191">
        <v>41743</v>
      </c>
      <c r="F1394" s="192" t="s">
        <v>1181</v>
      </c>
      <c r="G1394" s="468" t="s">
        <v>502</v>
      </c>
      <c r="H1394" s="193" t="s">
        <v>1370</v>
      </c>
      <c r="I1394" s="256">
        <v>90</v>
      </c>
      <c r="J1394" s="256">
        <v>16280</v>
      </c>
      <c r="K1394" s="568">
        <f t="shared" si="210"/>
        <v>1465200</v>
      </c>
      <c r="L1394" s="39" t="s">
        <v>167</v>
      </c>
      <c r="M1394" s="39" t="s">
        <v>159</v>
      </c>
      <c r="N1394" s="52" t="str">
        <f>IF(AND('331-CT'!$E$7=TH!H1394,OR(L1394="331",M1394="331")),"331",IF(AND(OR(L1394="131",M1394="131"),H1394='131-CT'!$E$7),"131",""))</f>
        <v/>
      </c>
      <c r="O1394" s="89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15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208"/>
        <v>4</v>
      </c>
      <c r="C1395" s="37">
        <f t="shared" si="209"/>
        <v>41743</v>
      </c>
      <c r="D1395" s="191" t="s">
        <v>1382</v>
      </c>
      <c r="E1395" s="191">
        <v>41743</v>
      </c>
      <c r="F1395" s="192" t="s">
        <v>1105</v>
      </c>
      <c r="G1395" s="468" t="s">
        <v>502</v>
      </c>
      <c r="H1395" s="193" t="s">
        <v>1370</v>
      </c>
      <c r="I1395" s="256">
        <v>50</v>
      </c>
      <c r="J1395" s="256">
        <v>20328</v>
      </c>
      <c r="K1395" s="568">
        <f t="shared" si="210"/>
        <v>1016400</v>
      </c>
      <c r="L1395" s="39" t="s">
        <v>167</v>
      </c>
      <c r="M1395" s="39" t="s">
        <v>159</v>
      </c>
      <c r="N1395" s="52" t="str">
        <f>IF(AND('331-CT'!$E$7=TH!H1395,OR(L1395="331",M1395="331")),"331",IF(AND(OR(L1395="131",M1395="131"),H1395='131-CT'!$E$7),"131",""))</f>
        <v/>
      </c>
      <c r="O1395" s="89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15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208"/>
        <v>4</v>
      </c>
      <c r="C1396" s="37">
        <f t="shared" si="209"/>
        <v>41745</v>
      </c>
      <c r="D1396" s="191" t="s">
        <v>1382</v>
      </c>
      <c r="E1396" s="191">
        <v>41745</v>
      </c>
      <c r="F1396" s="192" t="s">
        <v>1199</v>
      </c>
      <c r="G1396" s="468" t="s">
        <v>506</v>
      </c>
      <c r="H1396" s="193" t="s">
        <v>1370</v>
      </c>
      <c r="I1396" s="256">
        <v>250</v>
      </c>
      <c r="J1396" s="256">
        <v>25186</v>
      </c>
      <c r="K1396" s="568">
        <f t="shared" si="210"/>
        <v>6296500</v>
      </c>
      <c r="L1396" s="39" t="s">
        <v>167</v>
      </c>
      <c r="M1396" s="39" t="s">
        <v>159</v>
      </c>
      <c r="N1396" s="52" t="str">
        <f>IF(AND('331-CT'!$E$7=TH!H1396,OR(L1396="331",M1396="331")),"331",IF(AND(OR(L1396="131",M1396="131"),H1396='131-CT'!$E$7),"131",""))</f>
        <v/>
      </c>
      <c r="O1396" s="89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15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208"/>
        <v>4</v>
      </c>
      <c r="C1397" s="37">
        <f t="shared" si="209"/>
        <v>41747</v>
      </c>
      <c r="D1397" s="191" t="s">
        <v>1382</v>
      </c>
      <c r="E1397" s="191">
        <v>41747</v>
      </c>
      <c r="F1397" s="192" t="s">
        <v>1179</v>
      </c>
      <c r="G1397" s="468" t="s">
        <v>507</v>
      </c>
      <c r="H1397" s="193" t="s">
        <v>1370</v>
      </c>
      <c r="I1397" s="256">
        <v>250</v>
      </c>
      <c r="J1397" s="256">
        <v>29920</v>
      </c>
      <c r="K1397" s="568">
        <f t="shared" si="210"/>
        <v>7480000</v>
      </c>
      <c r="L1397" s="39" t="s">
        <v>167</v>
      </c>
      <c r="M1397" s="39" t="s">
        <v>159</v>
      </c>
      <c r="N1397" s="52" t="str">
        <f>IF(AND('331-CT'!$E$7=TH!H1397,OR(L1397="331",M1397="331")),"331",IF(AND(OR(L1397="131",M1397="131"),H1397='131-CT'!$E$7),"131",""))</f>
        <v/>
      </c>
      <c r="O1397" s="89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15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208"/>
        <v>4</v>
      </c>
      <c r="C1398" s="37">
        <f t="shared" si="209"/>
        <v>41747</v>
      </c>
      <c r="D1398" s="191" t="s">
        <v>1382</v>
      </c>
      <c r="E1398" s="191">
        <v>41747</v>
      </c>
      <c r="F1398" s="192" t="s">
        <v>1180</v>
      </c>
      <c r="G1398" s="468" t="s">
        <v>507</v>
      </c>
      <c r="H1398" s="193" t="s">
        <v>1370</v>
      </c>
      <c r="I1398" s="256">
        <v>30</v>
      </c>
      <c r="J1398" s="256">
        <v>9161</v>
      </c>
      <c r="K1398" s="568">
        <f t="shared" si="210"/>
        <v>274830</v>
      </c>
      <c r="L1398" s="39" t="s">
        <v>167</v>
      </c>
      <c r="M1398" s="39" t="s">
        <v>159</v>
      </c>
      <c r="N1398" s="52" t="str">
        <f>IF(AND('331-CT'!$E$7=TH!H1398,OR(L1398="331",M1398="331")),"331",IF(AND(OR(L1398="131",M1398="131"),H1398='131-CT'!$E$7),"131",""))</f>
        <v/>
      </c>
      <c r="O1398" s="89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15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208"/>
        <v>4</v>
      </c>
      <c r="C1399" s="37">
        <f t="shared" si="209"/>
        <v>41749</v>
      </c>
      <c r="D1399" s="191" t="s">
        <v>1382</v>
      </c>
      <c r="E1399" s="191">
        <v>41749</v>
      </c>
      <c r="F1399" s="192" t="s">
        <v>1146</v>
      </c>
      <c r="G1399" s="468" t="s">
        <v>508</v>
      </c>
      <c r="H1399" s="193" t="s">
        <v>1370</v>
      </c>
      <c r="I1399" s="256">
        <v>271</v>
      </c>
      <c r="J1399" s="256">
        <v>10701</v>
      </c>
      <c r="K1399" s="568">
        <f t="shared" si="210"/>
        <v>2899971</v>
      </c>
      <c r="L1399" s="39" t="s">
        <v>167</v>
      </c>
      <c r="M1399" s="39" t="s">
        <v>159</v>
      </c>
      <c r="N1399" s="52" t="str">
        <f>IF(AND('331-CT'!$E$7=TH!H1399,OR(L1399="331",M1399="331")),"331",IF(AND(OR(L1399="131",M1399="131"),H1399='131-CT'!$E$7),"131",""))</f>
        <v/>
      </c>
      <c r="O1399" s="89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15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208"/>
        <v>4</v>
      </c>
      <c r="C1400" s="37">
        <f t="shared" si="209"/>
        <v>41749</v>
      </c>
      <c r="D1400" s="191" t="s">
        <v>1382</v>
      </c>
      <c r="E1400" s="191">
        <v>41749</v>
      </c>
      <c r="F1400" s="192" t="s">
        <v>1157</v>
      </c>
      <c r="G1400" s="468" t="s">
        <v>508</v>
      </c>
      <c r="H1400" s="193" t="s">
        <v>1370</v>
      </c>
      <c r="I1400" s="256">
        <v>500</v>
      </c>
      <c r="J1400" s="256">
        <v>7888</v>
      </c>
      <c r="K1400" s="568">
        <f t="shared" si="210"/>
        <v>3944000</v>
      </c>
      <c r="L1400" s="39" t="s">
        <v>167</v>
      </c>
      <c r="M1400" s="39" t="s">
        <v>159</v>
      </c>
      <c r="N1400" s="52" t="str">
        <f>IF(AND('331-CT'!$E$7=TH!H1400,OR(L1400="331",M1400="331")),"331",IF(AND(OR(L1400="131",M1400="131"),H1400='131-CT'!$E$7),"131",""))</f>
        <v/>
      </c>
      <c r="O1400" s="89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15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208"/>
        <v>4</v>
      </c>
      <c r="C1401" s="37">
        <f t="shared" si="209"/>
        <v>41752</v>
      </c>
      <c r="D1401" s="191" t="s">
        <v>1382</v>
      </c>
      <c r="E1401" s="191">
        <v>41752</v>
      </c>
      <c r="F1401" s="192" t="s">
        <v>1175</v>
      </c>
      <c r="G1401" s="468" t="s">
        <v>510</v>
      </c>
      <c r="H1401" s="193" t="s">
        <v>1370</v>
      </c>
      <c r="I1401" s="256">
        <v>150</v>
      </c>
      <c r="J1401" s="256">
        <v>16315</v>
      </c>
      <c r="K1401" s="568">
        <f t="shared" si="210"/>
        <v>2447250</v>
      </c>
      <c r="L1401" s="39" t="s">
        <v>167</v>
      </c>
      <c r="M1401" s="39" t="s">
        <v>159</v>
      </c>
      <c r="N1401" s="52" t="str">
        <f>IF(AND('331-CT'!$E$7=TH!H1401,OR(L1401="331",M1401="331")),"331",IF(AND(OR(L1401="131",M1401="131"),H1401='131-CT'!$E$7),"131",""))</f>
        <v/>
      </c>
      <c r="O1401" s="89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15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208"/>
        <v>4</v>
      </c>
      <c r="C1402" s="37">
        <f t="shared" si="209"/>
        <v>41752</v>
      </c>
      <c r="D1402" s="191" t="s">
        <v>1382</v>
      </c>
      <c r="E1402" s="191">
        <v>41752</v>
      </c>
      <c r="F1402" s="192" t="s">
        <v>1076</v>
      </c>
      <c r="G1402" s="468" t="s">
        <v>510</v>
      </c>
      <c r="H1402" s="193" t="s">
        <v>1370</v>
      </c>
      <c r="I1402" s="256">
        <v>185</v>
      </c>
      <c r="J1402" s="256">
        <v>17318</v>
      </c>
      <c r="K1402" s="568">
        <f t="shared" si="210"/>
        <v>3203830</v>
      </c>
      <c r="L1402" s="39" t="s">
        <v>167</v>
      </c>
      <c r="M1402" s="39" t="s">
        <v>159</v>
      </c>
      <c r="N1402" s="52" t="str">
        <f>IF(AND('331-CT'!$E$7=TH!H1402,OR(L1402="331",M1402="331")),"331",IF(AND(OR(L1402="131",M1402="131"),H1402='131-CT'!$E$7),"131",""))</f>
        <v/>
      </c>
      <c r="O1402" s="89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15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208"/>
        <v>4</v>
      </c>
      <c r="C1403" s="37">
        <f t="shared" si="209"/>
        <v>41759</v>
      </c>
      <c r="D1403" s="191" t="s">
        <v>1382</v>
      </c>
      <c r="E1403" s="191">
        <v>41759</v>
      </c>
      <c r="F1403" s="192" t="s">
        <v>1160</v>
      </c>
      <c r="G1403" s="468" t="s">
        <v>511</v>
      </c>
      <c r="H1403" s="193" t="s">
        <v>1370</v>
      </c>
      <c r="I1403" s="256">
        <v>500</v>
      </c>
      <c r="J1403" s="256">
        <v>14784</v>
      </c>
      <c r="K1403" s="568">
        <f t="shared" si="210"/>
        <v>7392000</v>
      </c>
      <c r="L1403" s="39" t="s">
        <v>167</v>
      </c>
      <c r="M1403" s="39" t="s">
        <v>159</v>
      </c>
      <c r="N1403" s="52" t="str">
        <f>IF(AND('331-CT'!$E$7=TH!H1403,OR(L1403="331",M1403="331")),"331",IF(AND(OR(L1403="131",M1403="131"),H1403='131-CT'!$E$7),"131",""))</f>
        <v/>
      </c>
      <c r="O1403" s="89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15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208"/>
        <v>4</v>
      </c>
      <c r="C1404" s="37">
        <f t="shared" si="209"/>
        <v>41759</v>
      </c>
      <c r="D1404" s="191" t="s">
        <v>1382</v>
      </c>
      <c r="E1404" s="191">
        <v>41759</v>
      </c>
      <c r="F1404" s="192" t="s">
        <v>1343</v>
      </c>
      <c r="G1404" s="468" t="s">
        <v>511</v>
      </c>
      <c r="H1404" s="193" t="s">
        <v>1370</v>
      </c>
      <c r="I1404" s="256">
        <v>121</v>
      </c>
      <c r="J1404" s="256">
        <v>13625</v>
      </c>
      <c r="K1404" s="568">
        <f t="shared" si="210"/>
        <v>1648625</v>
      </c>
      <c r="L1404" s="39" t="s">
        <v>167</v>
      </c>
      <c r="M1404" s="39" t="s">
        <v>159</v>
      </c>
      <c r="N1404" s="52" t="str">
        <f>IF(AND('331-CT'!$E$7=TH!H1404,OR(L1404="331",M1404="331")),"331",IF(AND(OR(L1404="131",M1404="131"),H1404='131-CT'!$E$7),"131",""))</f>
        <v/>
      </c>
      <c r="O1404" s="89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15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ref="B1405:B1466" si="217">IF(C1405&lt;&gt;"",MONTH(C1405),"")</f>
        <v>5</v>
      </c>
      <c r="C1405" s="37">
        <f t="shared" ref="C1405:C1466" si="218">E1405</f>
        <v>41762</v>
      </c>
      <c r="D1405" s="191" t="s">
        <v>1382</v>
      </c>
      <c r="E1405" s="191">
        <v>41762</v>
      </c>
      <c r="F1405" s="192" t="s">
        <v>1076</v>
      </c>
      <c r="G1405" s="468" t="s">
        <v>512</v>
      </c>
      <c r="H1405" s="193" t="s">
        <v>1370</v>
      </c>
      <c r="I1405" s="256">
        <v>175</v>
      </c>
      <c r="J1405" s="256">
        <v>17318</v>
      </c>
      <c r="K1405" s="568">
        <f t="shared" ref="K1405:K1466" si="219">ROUND(I1405*J1405,0)</f>
        <v>3030650</v>
      </c>
      <c r="L1405" s="39" t="s">
        <v>167</v>
      </c>
      <c r="M1405" s="39" t="s">
        <v>159</v>
      </c>
      <c r="N1405" s="52" t="str">
        <f>IF(AND('331-CT'!$E$7=TH!H1405,OR(L1405="331",M1405="331")),"331",IF(AND(OR(L1405="131",M1405="131"),H1405='131-CT'!$E$7),"131",""))</f>
        <v/>
      </c>
      <c r="O1405" s="89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15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217"/>
        <v>5</v>
      </c>
      <c r="C1406" s="37">
        <f t="shared" si="218"/>
        <v>41762</v>
      </c>
      <c r="D1406" s="191" t="s">
        <v>1382</v>
      </c>
      <c r="E1406" s="191">
        <v>41762</v>
      </c>
      <c r="F1406" s="192" t="s">
        <v>1146</v>
      </c>
      <c r="G1406" s="468" t="s">
        <v>512</v>
      </c>
      <c r="H1406" s="193" t="s">
        <v>1370</v>
      </c>
      <c r="I1406" s="256">
        <v>100</v>
      </c>
      <c r="J1406" s="256">
        <v>10701</v>
      </c>
      <c r="K1406" s="568">
        <f t="shared" si="219"/>
        <v>1070100</v>
      </c>
      <c r="L1406" s="39" t="s">
        <v>167</v>
      </c>
      <c r="M1406" s="39" t="s">
        <v>159</v>
      </c>
      <c r="N1406" s="52" t="str">
        <f>IF(AND('331-CT'!$E$7=TH!H1406,OR(L1406="331",M1406="331")),"331",IF(AND(OR(L1406="131",M1406="131"),H1406='131-CT'!$E$7),"131",""))</f>
        <v/>
      </c>
      <c r="O1406" s="89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15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217"/>
        <v>5</v>
      </c>
      <c r="C1407" s="37">
        <f t="shared" si="218"/>
        <v>41769</v>
      </c>
      <c r="D1407" s="191" t="s">
        <v>1382</v>
      </c>
      <c r="E1407" s="191">
        <v>41769</v>
      </c>
      <c r="F1407" s="192" t="s">
        <v>1153</v>
      </c>
      <c r="G1407" s="468" t="s">
        <v>514</v>
      </c>
      <c r="H1407" s="193" t="s">
        <v>1370</v>
      </c>
      <c r="I1407" s="256">
        <v>200</v>
      </c>
      <c r="J1407" s="256">
        <v>18203</v>
      </c>
      <c r="K1407" s="568">
        <f t="shared" si="219"/>
        <v>3640600</v>
      </c>
      <c r="L1407" s="39" t="s">
        <v>167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89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15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217"/>
        <v>5</v>
      </c>
      <c r="C1408" s="37">
        <f t="shared" si="218"/>
        <v>41771</v>
      </c>
      <c r="D1408" s="191" t="s">
        <v>1382</v>
      </c>
      <c r="E1408" s="191">
        <v>41771</v>
      </c>
      <c r="F1408" s="192" t="s">
        <v>1342</v>
      </c>
      <c r="G1408" s="468" t="s">
        <v>515</v>
      </c>
      <c r="H1408" s="193" t="s">
        <v>1370</v>
      </c>
      <c r="I1408" s="256">
        <v>137</v>
      </c>
      <c r="J1408" s="256">
        <v>18605</v>
      </c>
      <c r="K1408" s="568">
        <f t="shared" si="219"/>
        <v>2548885</v>
      </c>
      <c r="L1408" s="39" t="s">
        <v>167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89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15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217"/>
        <v>5</v>
      </c>
      <c r="C1409" s="37">
        <f t="shared" si="218"/>
        <v>41771</v>
      </c>
      <c r="D1409" s="191" t="s">
        <v>1382</v>
      </c>
      <c r="E1409" s="191">
        <v>41771</v>
      </c>
      <c r="F1409" s="192" t="s">
        <v>1161</v>
      </c>
      <c r="G1409" s="468" t="s">
        <v>517</v>
      </c>
      <c r="H1409" s="193" t="s">
        <v>1370</v>
      </c>
      <c r="I1409" s="256">
        <v>500</v>
      </c>
      <c r="J1409" s="256">
        <v>19008</v>
      </c>
      <c r="K1409" s="568">
        <f t="shared" si="219"/>
        <v>9504000</v>
      </c>
      <c r="L1409" s="39" t="s">
        <v>167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89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15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217"/>
        <v>5</v>
      </c>
      <c r="C1410" s="37">
        <f t="shared" si="218"/>
        <v>41771</v>
      </c>
      <c r="D1410" s="191" t="s">
        <v>1382</v>
      </c>
      <c r="E1410" s="191">
        <v>41771</v>
      </c>
      <c r="F1410" s="192" t="s">
        <v>1161</v>
      </c>
      <c r="G1410" s="468" t="s">
        <v>519</v>
      </c>
      <c r="H1410" s="193" t="s">
        <v>1370</v>
      </c>
      <c r="I1410" s="256">
        <v>500</v>
      </c>
      <c r="J1410" s="256">
        <v>19008</v>
      </c>
      <c r="K1410" s="568">
        <f t="shared" si="219"/>
        <v>9504000</v>
      </c>
      <c r="L1410" s="39" t="s">
        <v>167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89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15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217"/>
        <v>5</v>
      </c>
      <c r="C1411" s="37">
        <f t="shared" si="218"/>
        <v>41771</v>
      </c>
      <c r="D1411" s="191" t="s">
        <v>1382</v>
      </c>
      <c r="E1411" s="191">
        <v>41771</v>
      </c>
      <c r="F1411" s="192" t="s">
        <v>1178</v>
      </c>
      <c r="G1411" s="468" t="s">
        <v>519</v>
      </c>
      <c r="H1411" s="193" t="s">
        <v>1370</v>
      </c>
      <c r="I1411" s="256">
        <v>435</v>
      </c>
      <c r="J1411" s="256">
        <v>9515</v>
      </c>
      <c r="K1411" s="568">
        <f t="shared" si="219"/>
        <v>4139025</v>
      </c>
      <c r="L1411" s="39" t="s">
        <v>167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89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15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217"/>
        <v>5</v>
      </c>
      <c r="C1412" s="37">
        <f t="shared" si="218"/>
        <v>41775</v>
      </c>
      <c r="D1412" s="191" t="s">
        <v>1382</v>
      </c>
      <c r="E1412" s="191">
        <v>41775</v>
      </c>
      <c r="F1412" s="192" t="s">
        <v>1146</v>
      </c>
      <c r="G1412" s="468" t="s">
        <v>521</v>
      </c>
      <c r="H1412" s="193" t="s">
        <v>1370</v>
      </c>
      <c r="I1412" s="256">
        <v>205</v>
      </c>
      <c r="J1412" s="256">
        <v>10701</v>
      </c>
      <c r="K1412" s="568">
        <f t="shared" si="219"/>
        <v>2193705</v>
      </c>
      <c r="L1412" s="39" t="s">
        <v>167</v>
      </c>
      <c r="M1412" s="39" t="s">
        <v>159</v>
      </c>
      <c r="N1412" s="52" t="str">
        <f>IF(AND('331-CT'!$E$7=TH!H1412,OR(L1412="331",M1412="331")),"331",IF(AND(OR(L1412="131",M1412="131"),H1412='131-CT'!$E$7),"131",""))</f>
        <v/>
      </c>
      <c r="O1412" s="89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15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217"/>
        <v>5</v>
      </c>
      <c r="C1413" s="37">
        <f t="shared" si="218"/>
        <v>41775</v>
      </c>
      <c r="D1413" s="191" t="s">
        <v>1382</v>
      </c>
      <c r="E1413" s="191">
        <v>41775</v>
      </c>
      <c r="F1413" s="192" t="s">
        <v>1072</v>
      </c>
      <c r="G1413" s="468" t="s">
        <v>521</v>
      </c>
      <c r="H1413" s="193" t="s">
        <v>1370</v>
      </c>
      <c r="I1413" s="256">
        <v>100</v>
      </c>
      <c r="J1413" s="256">
        <v>11792</v>
      </c>
      <c r="K1413" s="568">
        <f t="shared" si="219"/>
        <v>1179200</v>
      </c>
      <c r="L1413" s="39" t="s">
        <v>167</v>
      </c>
      <c r="M1413" s="39" t="s">
        <v>159</v>
      </c>
      <c r="N1413" s="52" t="str">
        <f>IF(AND('331-CT'!$E$7=TH!H1413,OR(L1413="331",M1413="331")),"331",IF(AND(OR(L1413="131",M1413="131"),H1413='131-CT'!$E$7),"131",""))</f>
        <v/>
      </c>
      <c r="O1413" s="89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15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217"/>
        <v>5</v>
      </c>
      <c r="C1414" s="37">
        <f t="shared" si="218"/>
        <v>41775</v>
      </c>
      <c r="D1414" s="191" t="s">
        <v>1382</v>
      </c>
      <c r="E1414" s="191">
        <v>41775</v>
      </c>
      <c r="F1414" s="192" t="s">
        <v>1187</v>
      </c>
      <c r="G1414" s="468" t="s">
        <v>521</v>
      </c>
      <c r="H1414" s="193" t="s">
        <v>1370</v>
      </c>
      <c r="I1414" s="256">
        <v>350</v>
      </c>
      <c r="J1414" s="256">
        <v>8282</v>
      </c>
      <c r="K1414" s="568">
        <f t="shared" si="219"/>
        <v>2898700</v>
      </c>
      <c r="L1414" s="39" t="s">
        <v>167</v>
      </c>
      <c r="M1414" s="39" t="s">
        <v>159</v>
      </c>
      <c r="N1414" s="52" t="str">
        <f>IF(AND('331-CT'!$E$7=TH!H1414,OR(L1414="331",M1414="331")),"331",IF(AND(OR(L1414="131",M1414="131"),H1414='131-CT'!$E$7),"131",""))</f>
        <v/>
      </c>
      <c r="O1414" s="89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15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217"/>
        <v>5</v>
      </c>
      <c r="C1415" s="37">
        <f t="shared" si="218"/>
        <v>41775</v>
      </c>
      <c r="D1415" s="191" t="s">
        <v>1382</v>
      </c>
      <c r="E1415" s="191">
        <v>41775</v>
      </c>
      <c r="F1415" s="192" t="s">
        <v>1186</v>
      </c>
      <c r="G1415" s="468" t="s">
        <v>521</v>
      </c>
      <c r="H1415" s="193" t="s">
        <v>1370</v>
      </c>
      <c r="I1415" s="256">
        <v>147</v>
      </c>
      <c r="J1415" s="256">
        <v>19712</v>
      </c>
      <c r="K1415" s="568">
        <f t="shared" si="219"/>
        <v>2897664</v>
      </c>
      <c r="L1415" s="39" t="s">
        <v>167</v>
      </c>
      <c r="M1415" s="39" t="s">
        <v>159</v>
      </c>
      <c r="N1415" s="52" t="str">
        <f>IF(AND('331-CT'!$E$7=TH!H1415,OR(L1415="331",M1415="331")),"331",IF(AND(OR(L1415="131",M1415="131"),H1415='131-CT'!$E$7),"131",""))</f>
        <v/>
      </c>
      <c r="O1415" s="89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15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217"/>
        <v>5</v>
      </c>
      <c r="C1416" s="37">
        <f t="shared" si="218"/>
        <v>41776</v>
      </c>
      <c r="D1416" s="191" t="s">
        <v>1382</v>
      </c>
      <c r="E1416" s="191">
        <v>41776</v>
      </c>
      <c r="F1416" s="192" t="s">
        <v>1184</v>
      </c>
      <c r="G1416" s="468" t="s">
        <v>523</v>
      </c>
      <c r="H1416" s="193" t="s">
        <v>1370</v>
      </c>
      <c r="I1416" s="256">
        <v>30</v>
      </c>
      <c r="J1416" s="256">
        <v>19690</v>
      </c>
      <c r="K1416" s="568">
        <f t="shared" si="219"/>
        <v>590700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89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15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217"/>
        <v>5</v>
      </c>
      <c r="C1417" s="37">
        <f t="shared" si="218"/>
        <v>41776</v>
      </c>
      <c r="D1417" s="191" t="s">
        <v>1382</v>
      </c>
      <c r="E1417" s="191">
        <v>41776</v>
      </c>
      <c r="F1417" s="192" t="s">
        <v>1176</v>
      </c>
      <c r="G1417" s="468" t="s">
        <v>523</v>
      </c>
      <c r="H1417" s="193" t="s">
        <v>1370</v>
      </c>
      <c r="I1417" s="256">
        <v>420</v>
      </c>
      <c r="J1417" s="256">
        <v>10150</v>
      </c>
      <c r="K1417" s="568">
        <f t="shared" si="219"/>
        <v>4263000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89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15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217"/>
        <v>5</v>
      </c>
      <c r="C1418" s="37">
        <f t="shared" si="218"/>
        <v>41777</v>
      </c>
      <c r="D1418" s="191" t="s">
        <v>1382</v>
      </c>
      <c r="E1418" s="191">
        <v>41777</v>
      </c>
      <c r="F1418" s="192" t="s">
        <v>1180</v>
      </c>
      <c r="G1418" s="468" t="s">
        <v>526</v>
      </c>
      <c r="H1418" s="193" t="s">
        <v>1370</v>
      </c>
      <c r="I1418" s="256">
        <v>32</v>
      </c>
      <c r="J1418" s="256">
        <v>9161</v>
      </c>
      <c r="K1418" s="568">
        <f t="shared" si="219"/>
        <v>293152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89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15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217"/>
        <v>5</v>
      </c>
      <c r="C1419" s="37">
        <f t="shared" si="218"/>
        <v>41777</v>
      </c>
      <c r="D1419" s="191" t="s">
        <v>1382</v>
      </c>
      <c r="E1419" s="191">
        <v>41777</v>
      </c>
      <c r="F1419" s="192" t="s">
        <v>1155</v>
      </c>
      <c r="G1419" s="468" t="s">
        <v>527</v>
      </c>
      <c r="H1419" s="193" t="s">
        <v>1370</v>
      </c>
      <c r="I1419" s="256">
        <v>300</v>
      </c>
      <c r="J1419" s="256">
        <v>15893</v>
      </c>
      <c r="K1419" s="568">
        <f t="shared" si="219"/>
        <v>4767900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89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15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217"/>
        <v>5</v>
      </c>
      <c r="C1420" s="37">
        <f t="shared" si="218"/>
        <v>41778</v>
      </c>
      <c r="D1420" s="191" t="s">
        <v>1382</v>
      </c>
      <c r="E1420" s="191">
        <v>41778</v>
      </c>
      <c r="F1420" s="192" t="s">
        <v>1074</v>
      </c>
      <c r="G1420" s="468" t="s">
        <v>529</v>
      </c>
      <c r="H1420" s="193" t="s">
        <v>1370</v>
      </c>
      <c r="I1420" s="256">
        <v>500</v>
      </c>
      <c r="J1420" s="256">
        <v>14978</v>
      </c>
      <c r="K1420" s="568">
        <f t="shared" si="219"/>
        <v>7489000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89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15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217"/>
        <v>5</v>
      </c>
      <c r="C1421" s="37">
        <f t="shared" si="218"/>
        <v>41783</v>
      </c>
      <c r="D1421" s="191" t="s">
        <v>1382</v>
      </c>
      <c r="E1421" s="191">
        <v>41783</v>
      </c>
      <c r="F1421" s="192" t="s">
        <v>1171</v>
      </c>
      <c r="G1421" s="468" t="s">
        <v>530</v>
      </c>
      <c r="H1421" s="193" t="s">
        <v>1370</v>
      </c>
      <c r="I1421" s="256">
        <v>1000</v>
      </c>
      <c r="J1421" s="256">
        <v>10231</v>
      </c>
      <c r="K1421" s="568">
        <f t="shared" si="219"/>
        <v>10231000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89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15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217"/>
        <v>5</v>
      </c>
      <c r="C1422" s="37">
        <f t="shared" si="218"/>
        <v>41785</v>
      </c>
      <c r="D1422" s="191" t="s">
        <v>1382</v>
      </c>
      <c r="E1422" s="191">
        <v>41785</v>
      </c>
      <c r="F1422" s="192" t="s">
        <v>1154</v>
      </c>
      <c r="G1422" s="468" t="s">
        <v>531</v>
      </c>
      <c r="H1422" s="193" t="s">
        <v>1370</v>
      </c>
      <c r="I1422" s="256">
        <v>250</v>
      </c>
      <c r="J1422" s="256">
        <v>16447</v>
      </c>
      <c r="K1422" s="568">
        <f t="shared" si="219"/>
        <v>4111750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89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15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217"/>
        <v>5</v>
      </c>
      <c r="C1423" s="37">
        <f t="shared" si="218"/>
        <v>41785</v>
      </c>
      <c r="D1423" s="191" t="s">
        <v>1382</v>
      </c>
      <c r="E1423" s="191">
        <v>41785</v>
      </c>
      <c r="F1423" s="192" t="s">
        <v>1332</v>
      </c>
      <c r="G1423" s="468" t="s">
        <v>532</v>
      </c>
      <c r="H1423" s="193" t="s">
        <v>1370</v>
      </c>
      <c r="I1423" s="256">
        <v>100</v>
      </c>
      <c r="J1423" s="256">
        <v>23455</v>
      </c>
      <c r="K1423" s="568">
        <f t="shared" si="219"/>
        <v>2345500</v>
      </c>
      <c r="L1423" s="39" t="s">
        <v>167</v>
      </c>
      <c r="M1423" s="39" t="s">
        <v>159</v>
      </c>
      <c r="N1423" s="52" t="str">
        <f>IF(AND('331-CT'!$E$7=TH!H1423,OR(L1423="331",M1423="331")),"331",IF(AND(OR(L1423="131",M1423="131"),H1423='131-CT'!$E$7),"131",""))</f>
        <v/>
      </c>
      <c r="O1423" s="89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15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217"/>
        <v>5</v>
      </c>
      <c r="C1424" s="37">
        <f t="shared" si="218"/>
        <v>41785</v>
      </c>
      <c r="D1424" s="191" t="s">
        <v>1382</v>
      </c>
      <c r="E1424" s="191">
        <v>41785</v>
      </c>
      <c r="F1424" s="192" t="s">
        <v>1184</v>
      </c>
      <c r="G1424" s="468" t="s">
        <v>532</v>
      </c>
      <c r="H1424" s="193" t="s">
        <v>1370</v>
      </c>
      <c r="I1424" s="256">
        <v>80</v>
      </c>
      <c r="J1424" s="256">
        <v>19690</v>
      </c>
      <c r="K1424" s="568">
        <f t="shared" si="219"/>
        <v>1575200</v>
      </c>
      <c r="L1424" s="39" t="s">
        <v>167</v>
      </c>
      <c r="M1424" s="39" t="s">
        <v>159</v>
      </c>
      <c r="N1424" s="52" t="str">
        <f>IF(AND('331-CT'!$E$7=TH!H1424,OR(L1424="331",M1424="331")),"331",IF(AND(OR(L1424="131",M1424="131"),H1424='131-CT'!$E$7),"131",""))</f>
        <v/>
      </c>
      <c r="O1424" s="89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15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217"/>
        <v>5</v>
      </c>
      <c r="C1425" s="37">
        <f t="shared" si="218"/>
        <v>41785</v>
      </c>
      <c r="D1425" s="191" t="s">
        <v>1382</v>
      </c>
      <c r="E1425" s="191">
        <v>41785</v>
      </c>
      <c r="F1425" s="192" t="s">
        <v>1174</v>
      </c>
      <c r="G1425" s="468" t="s">
        <v>532</v>
      </c>
      <c r="H1425" s="193" t="s">
        <v>1370</v>
      </c>
      <c r="I1425" s="256">
        <v>350</v>
      </c>
      <c r="J1425" s="256">
        <v>8584</v>
      </c>
      <c r="K1425" s="568">
        <f t="shared" si="219"/>
        <v>3004400</v>
      </c>
      <c r="L1425" s="39" t="s">
        <v>167</v>
      </c>
      <c r="M1425" s="39" t="s">
        <v>159</v>
      </c>
      <c r="N1425" s="52" t="str">
        <f>IF(AND('331-CT'!$E$7=TH!H1425,OR(L1425="331",M1425="331")),"331",IF(AND(OR(L1425="131",M1425="131"),H1425='131-CT'!$E$7),"131",""))</f>
        <v/>
      </c>
      <c r="O1425" s="89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15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217"/>
        <v>5</v>
      </c>
      <c r="C1426" s="37">
        <f t="shared" si="218"/>
        <v>41785</v>
      </c>
      <c r="D1426" s="191" t="s">
        <v>1382</v>
      </c>
      <c r="E1426" s="191">
        <v>41785</v>
      </c>
      <c r="F1426" s="192" t="s">
        <v>1156</v>
      </c>
      <c r="G1426" s="468" t="s">
        <v>535</v>
      </c>
      <c r="H1426" s="193" t="s">
        <v>1370</v>
      </c>
      <c r="I1426" s="256">
        <v>100</v>
      </c>
      <c r="J1426" s="256">
        <v>12241</v>
      </c>
      <c r="K1426" s="568">
        <f t="shared" si="219"/>
        <v>1224100</v>
      </c>
      <c r="L1426" s="39" t="s">
        <v>167</v>
      </c>
      <c r="M1426" s="39" t="s">
        <v>159</v>
      </c>
      <c r="N1426" s="52" t="str">
        <f>IF(AND('331-CT'!$E$7=TH!H1426,OR(L1426="331",M1426="331")),"331",IF(AND(OR(L1426="131",M1426="131"),H1426='131-CT'!$E$7),"131",""))</f>
        <v/>
      </c>
      <c r="O1426" s="89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15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217"/>
        <v>5</v>
      </c>
      <c r="C1427" s="37">
        <f t="shared" si="218"/>
        <v>41786</v>
      </c>
      <c r="D1427" s="191" t="s">
        <v>1382</v>
      </c>
      <c r="E1427" s="191">
        <v>41786</v>
      </c>
      <c r="F1427" s="192" t="s">
        <v>1100</v>
      </c>
      <c r="G1427" s="468" t="s">
        <v>537</v>
      </c>
      <c r="H1427" s="193" t="s">
        <v>1370</v>
      </c>
      <c r="I1427" s="256">
        <v>370</v>
      </c>
      <c r="J1427" s="256">
        <v>23232</v>
      </c>
      <c r="K1427" s="568">
        <f t="shared" si="219"/>
        <v>8595840</v>
      </c>
      <c r="L1427" s="39" t="s">
        <v>167</v>
      </c>
      <c r="M1427" s="39" t="s">
        <v>159</v>
      </c>
      <c r="N1427" s="52" t="str">
        <f>IF(AND('331-CT'!$E$7=TH!H1427,OR(L1427="331",M1427="331")),"331",IF(AND(OR(L1427="131",M1427="131"),H1427='131-CT'!$E$7),"131",""))</f>
        <v/>
      </c>
      <c r="O1427" s="89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15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217"/>
        <v>5</v>
      </c>
      <c r="C1428" s="37">
        <f t="shared" si="218"/>
        <v>41786</v>
      </c>
      <c r="D1428" s="191" t="s">
        <v>1382</v>
      </c>
      <c r="E1428" s="191">
        <v>41786</v>
      </c>
      <c r="F1428" s="192" t="s">
        <v>1146</v>
      </c>
      <c r="G1428" s="468" t="s">
        <v>539</v>
      </c>
      <c r="H1428" s="193" t="s">
        <v>1370</v>
      </c>
      <c r="I1428" s="256">
        <v>548</v>
      </c>
      <c r="J1428" s="256">
        <v>10701</v>
      </c>
      <c r="K1428" s="568">
        <f t="shared" si="219"/>
        <v>5864148</v>
      </c>
      <c r="L1428" s="39" t="s">
        <v>167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89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15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217"/>
        <v>5</v>
      </c>
      <c r="C1429" s="37">
        <f t="shared" si="218"/>
        <v>41789</v>
      </c>
      <c r="D1429" s="191" t="s">
        <v>1382</v>
      </c>
      <c r="E1429" s="191">
        <v>41789</v>
      </c>
      <c r="F1429" s="192" t="s">
        <v>1147</v>
      </c>
      <c r="G1429" s="468" t="s">
        <v>540</v>
      </c>
      <c r="H1429" s="193" t="s">
        <v>1370</v>
      </c>
      <c r="I1429" s="256">
        <v>1000</v>
      </c>
      <c r="J1429" s="256">
        <v>15616</v>
      </c>
      <c r="K1429" s="568">
        <f t="shared" si="219"/>
        <v>15616000</v>
      </c>
      <c r="L1429" s="39" t="s">
        <v>167</v>
      </c>
      <c r="M1429" s="39" t="s">
        <v>159</v>
      </c>
      <c r="N1429" s="52" t="str">
        <f>IF(AND('331-CT'!$E$7=TH!H1429,OR(L1429="331",M1429="331")),"331",IF(AND(OR(L1429="131",M1429="131"),H1429='131-CT'!$E$7),"131",""))</f>
        <v/>
      </c>
      <c r="O1429" s="89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15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217"/>
        <v>5</v>
      </c>
      <c r="C1430" s="37">
        <f t="shared" si="218"/>
        <v>41789</v>
      </c>
      <c r="D1430" s="191" t="s">
        <v>1382</v>
      </c>
      <c r="E1430" s="191">
        <v>41789</v>
      </c>
      <c r="F1430" s="192" t="s">
        <v>1199</v>
      </c>
      <c r="G1430" s="468" t="s">
        <v>542</v>
      </c>
      <c r="H1430" s="193" t="s">
        <v>1370</v>
      </c>
      <c r="I1430" s="256">
        <v>150</v>
      </c>
      <c r="J1430" s="256">
        <v>25186</v>
      </c>
      <c r="K1430" s="568">
        <f t="shared" si="219"/>
        <v>3777900</v>
      </c>
      <c r="L1430" s="39" t="s">
        <v>167</v>
      </c>
      <c r="M1430" s="39" t="s">
        <v>159</v>
      </c>
      <c r="N1430" s="52" t="str">
        <f>IF(AND('331-CT'!$E$7=TH!H1430,OR(L1430="331",M1430="331")),"331",IF(AND(OR(L1430="131",M1430="131"),H1430='131-CT'!$E$7),"131",""))</f>
        <v/>
      </c>
      <c r="O1430" s="89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15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217"/>
        <v>5</v>
      </c>
      <c r="C1431" s="37">
        <f t="shared" si="218"/>
        <v>41789</v>
      </c>
      <c r="D1431" s="191" t="s">
        <v>1382</v>
      </c>
      <c r="E1431" s="191">
        <v>41789</v>
      </c>
      <c r="F1431" s="192" t="s">
        <v>1180</v>
      </c>
      <c r="G1431" s="468" t="s">
        <v>543</v>
      </c>
      <c r="H1431" s="193" t="s">
        <v>1370</v>
      </c>
      <c r="I1431" s="256">
        <v>40</v>
      </c>
      <c r="J1431" s="256">
        <v>9161</v>
      </c>
      <c r="K1431" s="568">
        <f t="shared" si="219"/>
        <v>366440</v>
      </c>
      <c r="L1431" s="39" t="s">
        <v>167</v>
      </c>
      <c r="M1431" s="39" t="s">
        <v>159</v>
      </c>
      <c r="N1431" s="52" t="str">
        <f>IF(AND('331-CT'!$E$7=TH!H1431,OR(L1431="331",M1431="331")),"331",IF(AND(OR(L1431="131",M1431="131"),H1431='131-CT'!$E$7),"131",""))</f>
        <v/>
      </c>
      <c r="O1431" s="89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15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217"/>
        <v>6</v>
      </c>
      <c r="C1432" s="37">
        <f t="shared" si="218"/>
        <v>41791</v>
      </c>
      <c r="D1432" s="191" t="s">
        <v>1382</v>
      </c>
      <c r="E1432" s="191">
        <v>41791</v>
      </c>
      <c r="F1432" s="192" t="s">
        <v>1147</v>
      </c>
      <c r="G1432" s="468" t="s">
        <v>544</v>
      </c>
      <c r="H1432" s="193" t="s">
        <v>1370</v>
      </c>
      <c r="I1432" s="256">
        <v>150</v>
      </c>
      <c r="J1432" s="256">
        <v>15616</v>
      </c>
      <c r="K1432" s="568">
        <f t="shared" si="219"/>
        <v>2342400</v>
      </c>
      <c r="L1432" s="39" t="s">
        <v>167</v>
      </c>
      <c r="M1432" s="39" t="s">
        <v>159</v>
      </c>
      <c r="N1432" s="52" t="str">
        <f>IF(AND('331-CT'!$E$7=TH!H1432,OR(L1432="331",M1432="331")),"331",IF(AND(OR(L1432="131",M1432="131"),H1432='131-CT'!$E$7),"131",""))</f>
        <v/>
      </c>
      <c r="O1432" s="89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15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217"/>
        <v>6</v>
      </c>
      <c r="C1433" s="37">
        <f t="shared" si="218"/>
        <v>41791</v>
      </c>
      <c r="D1433" s="191" t="s">
        <v>1382</v>
      </c>
      <c r="E1433" s="191">
        <v>41791</v>
      </c>
      <c r="F1433" s="192" t="s">
        <v>1199</v>
      </c>
      <c r="G1433" s="468" t="s">
        <v>544</v>
      </c>
      <c r="H1433" s="193" t="s">
        <v>1370</v>
      </c>
      <c r="I1433" s="256">
        <v>100</v>
      </c>
      <c r="J1433" s="256">
        <v>25186</v>
      </c>
      <c r="K1433" s="568">
        <f t="shared" si="219"/>
        <v>2518600</v>
      </c>
      <c r="L1433" s="39" t="s">
        <v>167</v>
      </c>
      <c r="M1433" s="39" t="s">
        <v>159</v>
      </c>
      <c r="N1433" s="52" t="str">
        <f>IF(AND('331-CT'!$E$7=TH!H1433,OR(L1433="331",M1433="331")),"331",IF(AND(OR(L1433="131",M1433="131"),H1433='131-CT'!$E$7),"131",""))</f>
        <v/>
      </c>
      <c r="O1433" s="89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15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217"/>
        <v>6</v>
      </c>
      <c r="C1434" s="37">
        <f t="shared" si="218"/>
        <v>41791</v>
      </c>
      <c r="D1434" s="191" t="s">
        <v>1382</v>
      </c>
      <c r="E1434" s="191">
        <v>41791</v>
      </c>
      <c r="F1434" s="192" t="s">
        <v>1181</v>
      </c>
      <c r="G1434" s="468" t="s">
        <v>544</v>
      </c>
      <c r="H1434" s="193" t="s">
        <v>1370</v>
      </c>
      <c r="I1434" s="256">
        <v>60</v>
      </c>
      <c r="J1434" s="256">
        <v>16280</v>
      </c>
      <c r="K1434" s="568">
        <f t="shared" si="219"/>
        <v>976800</v>
      </c>
      <c r="L1434" s="39" t="s">
        <v>167</v>
      </c>
      <c r="M1434" s="39" t="s">
        <v>159</v>
      </c>
      <c r="N1434" s="52" t="str">
        <f>IF(AND('331-CT'!$E$7=TH!H1434,OR(L1434="331",M1434="331")),"331",IF(AND(OR(L1434="131",M1434="131"),H1434='131-CT'!$E$7),"131",""))</f>
        <v/>
      </c>
      <c r="O1434" s="89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15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217"/>
        <v>6</v>
      </c>
      <c r="C1435" s="37">
        <f t="shared" si="218"/>
        <v>41791</v>
      </c>
      <c r="D1435" s="191" t="s">
        <v>1382</v>
      </c>
      <c r="E1435" s="191">
        <v>41791</v>
      </c>
      <c r="F1435" s="192" t="s">
        <v>1105</v>
      </c>
      <c r="G1435" s="468" t="s">
        <v>544</v>
      </c>
      <c r="H1435" s="193" t="s">
        <v>1370</v>
      </c>
      <c r="I1435" s="256">
        <v>50</v>
      </c>
      <c r="J1435" s="256">
        <v>20328</v>
      </c>
      <c r="K1435" s="568">
        <f t="shared" si="219"/>
        <v>1016400</v>
      </c>
      <c r="L1435" s="39" t="s">
        <v>167</v>
      </c>
      <c r="M1435" s="39" t="s">
        <v>159</v>
      </c>
      <c r="N1435" s="52" t="str">
        <f>IF(AND('331-CT'!$E$7=TH!H1435,OR(L1435="331",M1435="331")),"331",IF(AND(OR(L1435="131",M1435="131"),H1435='131-CT'!$E$7),"131",""))</f>
        <v/>
      </c>
      <c r="O1435" s="89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15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217"/>
        <v>6</v>
      </c>
      <c r="C1436" s="37">
        <f t="shared" si="218"/>
        <v>41792</v>
      </c>
      <c r="D1436" s="191" t="s">
        <v>1382</v>
      </c>
      <c r="E1436" s="191">
        <v>41792</v>
      </c>
      <c r="F1436" s="192" t="s">
        <v>1104</v>
      </c>
      <c r="G1436" s="468" t="s">
        <v>546</v>
      </c>
      <c r="H1436" s="193" t="s">
        <v>1370</v>
      </c>
      <c r="I1436" s="256">
        <v>190</v>
      </c>
      <c r="J1436" s="256">
        <v>20821</v>
      </c>
      <c r="K1436" s="568">
        <f t="shared" si="219"/>
        <v>3955990</v>
      </c>
      <c r="L1436" s="39" t="s">
        <v>167</v>
      </c>
      <c r="M1436" s="39" t="s">
        <v>159</v>
      </c>
      <c r="N1436" s="52" t="str">
        <f>IF(AND('331-CT'!$E$7=TH!H1436,OR(L1436="331",M1436="331")),"331",IF(AND(OR(L1436="131",M1436="131"),H1436='131-CT'!$E$7),"131",""))</f>
        <v/>
      </c>
      <c r="O1436" s="89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15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217"/>
        <v>6</v>
      </c>
      <c r="C1437" s="37">
        <f t="shared" si="218"/>
        <v>41792</v>
      </c>
      <c r="D1437" s="191" t="s">
        <v>1382</v>
      </c>
      <c r="E1437" s="191">
        <v>41792</v>
      </c>
      <c r="F1437" s="192" t="s">
        <v>1167</v>
      </c>
      <c r="G1437" s="468" t="s">
        <v>546</v>
      </c>
      <c r="H1437" s="193" t="s">
        <v>1370</v>
      </c>
      <c r="I1437" s="256">
        <v>200</v>
      </c>
      <c r="J1437" s="256">
        <v>22968</v>
      </c>
      <c r="K1437" s="568">
        <f t="shared" si="219"/>
        <v>4593600</v>
      </c>
      <c r="L1437" s="39" t="s">
        <v>167</v>
      </c>
      <c r="M1437" s="39" t="s">
        <v>159</v>
      </c>
      <c r="N1437" s="52" t="str">
        <f>IF(AND('331-CT'!$E$7=TH!H1437,OR(L1437="331",M1437="331")),"331",IF(AND(OR(L1437="131",M1437="131"),H1437='131-CT'!$E$7),"131",""))</f>
        <v/>
      </c>
      <c r="O1437" s="89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15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217"/>
        <v>6</v>
      </c>
      <c r="C1438" s="37">
        <f t="shared" si="218"/>
        <v>41792</v>
      </c>
      <c r="D1438" s="191" t="s">
        <v>1382</v>
      </c>
      <c r="E1438" s="191">
        <v>41792</v>
      </c>
      <c r="F1438" s="192" t="s">
        <v>1158</v>
      </c>
      <c r="G1438" s="468" t="s">
        <v>550</v>
      </c>
      <c r="H1438" s="193" t="s">
        <v>1370</v>
      </c>
      <c r="I1438" s="256">
        <v>100</v>
      </c>
      <c r="J1438" s="256">
        <v>9147</v>
      </c>
      <c r="K1438" s="568">
        <f t="shared" si="219"/>
        <v>914700</v>
      </c>
      <c r="L1438" s="39" t="s">
        <v>167</v>
      </c>
      <c r="M1438" s="39" t="s">
        <v>159</v>
      </c>
      <c r="N1438" s="52" t="str">
        <f>IF(AND('331-CT'!$E$7=TH!H1438,OR(L1438="331",M1438="331")),"331",IF(AND(OR(L1438="131",M1438="131"),H1438='131-CT'!$E$7),"131",""))</f>
        <v/>
      </c>
      <c r="O1438" s="89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15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217"/>
        <v>6</v>
      </c>
      <c r="C1439" s="37">
        <f t="shared" si="218"/>
        <v>41792</v>
      </c>
      <c r="D1439" s="191" t="s">
        <v>1382</v>
      </c>
      <c r="E1439" s="191">
        <v>41792</v>
      </c>
      <c r="F1439" s="192" t="s">
        <v>1101</v>
      </c>
      <c r="G1439" s="468" t="s">
        <v>550</v>
      </c>
      <c r="H1439" s="193" t="s">
        <v>1370</v>
      </c>
      <c r="I1439" s="256">
        <v>40</v>
      </c>
      <c r="J1439" s="256">
        <v>22176</v>
      </c>
      <c r="K1439" s="568">
        <f t="shared" si="219"/>
        <v>887040</v>
      </c>
      <c r="L1439" s="39" t="s">
        <v>167</v>
      </c>
      <c r="M1439" s="39" t="s">
        <v>159</v>
      </c>
      <c r="N1439" s="52" t="str">
        <f>IF(AND('331-CT'!$E$7=TH!H1439,OR(L1439="331",M1439="331")),"331",IF(AND(OR(L1439="131",M1439="131"),H1439='131-CT'!$E$7),"131",""))</f>
        <v/>
      </c>
      <c r="O1439" s="89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15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217"/>
        <v>6</v>
      </c>
      <c r="C1440" s="37">
        <f t="shared" si="218"/>
        <v>41796</v>
      </c>
      <c r="D1440" s="191" t="s">
        <v>1382</v>
      </c>
      <c r="E1440" s="191">
        <v>41796</v>
      </c>
      <c r="F1440" s="192" t="s">
        <v>1184</v>
      </c>
      <c r="G1440" s="468" t="s">
        <v>554</v>
      </c>
      <c r="H1440" s="193" t="s">
        <v>1370</v>
      </c>
      <c r="I1440" s="256">
        <v>80</v>
      </c>
      <c r="J1440" s="256">
        <v>19690</v>
      </c>
      <c r="K1440" s="568">
        <f t="shared" si="219"/>
        <v>1575200</v>
      </c>
      <c r="L1440" s="39" t="s">
        <v>167</v>
      </c>
      <c r="M1440" s="39" t="s">
        <v>159</v>
      </c>
      <c r="N1440" s="52" t="str">
        <f>IF(AND('331-CT'!$E$7=TH!H1440,OR(L1440="331",M1440="331")),"331",IF(AND(OR(L1440="131",M1440="131"),H1440='131-CT'!$E$7),"131",""))</f>
        <v/>
      </c>
      <c r="O1440" s="89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15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217"/>
        <v>6</v>
      </c>
      <c r="C1441" s="37">
        <f t="shared" si="218"/>
        <v>41803</v>
      </c>
      <c r="D1441" s="191" t="s">
        <v>1382</v>
      </c>
      <c r="E1441" s="191">
        <v>41803</v>
      </c>
      <c r="F1441" s="192" t="s">
        <v>1173</v>
      </c>
      <c r="G1441" s="468" t="s">
        <v>556</v>
      </c>
      <c r="H1441" s="193" t="s">
        <v>1370</v>
      </c>
      <c r="I1441" s="256">
        <v>400</v>
      </c>
      <c r="J1441" s="256">
        <v>22704</v>
      </c>
      <c r="K1441" s="568">
        <f t="shared" si="219"/>
        <v>9081600</v>
      </c>
      <c r="L1441" s="39" t="s">
        <v>167</v>
      </c>
      <c r="M1441" s="39" t="s">
        <v>159</v>
      </c>
      <c r="N1441" s="52" t="str">
        <f>IF(AND('331-CT'!$E$7=TH!H1441,OR(L1441="331",M1441="331")),"331",IF(AND(OR(L1441="131",M1441="131"),H1441='131-CT'!$E$7),"131",""))</f>
        <v/>
      </c>
      <c r="O1441" s="89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15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217"/>
        <v>6</v>
      </c>
      <c r="C1442" s="37">
        <f t="shared" si="218"/>
        <v>41804</v>
      </c>
      <c r="D1442" s="191" t="s">
        <v>1382</v>
      </c>
      <c r="E1442" s="191">
        <v>41804</v>
      </c>
      <c r="F1442" s="192" t="s">
        <v>1180</v>
      </c>
      <c r="G1442" s="468" t="s">
        <v>557</v>
      </c>
      <c r="H1442" s="193" t="s">
        <v>1370</v>
      </c>
      <c r="I1442" s="256">
        <v>150</v>
      </c>
      <c r="J1442" s="256">
        <v>9161</v>
      </c>
      <c r="K1442" s="568">
        <f t="shared" si="219"/>
        <v>1374150</v>
      </c>
      <c r="L1442" s="39" t="s">
        <v>167</v>
      </c>
      <c r="M1442" s="39" t="s">
        <v>159</v>
      </c>
      <c r="N1442" s="52" t="str">
        <f>IF(AND('331-CT'!$E$7=TH!H1442,OR(L1442="331",M1442="331")),"331",IF(AND(OR(L1442="131",M1442="131"),H1442='131-CT'!$E$7),"131",""))</f>
        <v/>
      </c>
      <c r="O1442" s="89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15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217"/>
        <v>6</v>
      </c>
      <c r="C1443" s="37">
        <f t="shared" si="218"/>
        <v>41807</v>
      </c>
      <c r="D1443" s="191" t="s">
        <v>1382</v>
      </c>
      <c r="E1443" s="191">
        <v>41807</v>
      </c>
      <c r="F1443" s="192" t="s">
        <v>1076</v>
      </c>
      <c r="G1443" s="468" t="s">
        <v>558</v>
      </c>
      <c r="H1443" s="193" t="s">
        <v>1370</v>
      </c>
      <c r="I1443" s="256">
        <v>190</v>
      </c>
      <c r="J1443" s="256">
        <v>17318</v>
      </c>
      <c r="K1443" s="568">
        <f t="shared" si="219"/>
        <v>3290420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15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217"/>
        <v>6</v>
      </c>
      <c r="C1444" s="37">
        <f t="shared" si="218"/>
        <v>41810</v>
      </c>
      <c r="D1444" s="191" t="s">
        <v>1382</v>
      </c>
      <c r="E1444" s="191">
        <v>41810</v>
      </c>
      <c r="F1444" s="192" t="s">
        <v>1166</v>
      </c>
      <c r="G1444" s="468" t="s">
        <v>559</v>
      </c>
      <c r="H1444" s="193" t="s">
        <v>1370</v>
      </c>
      <c r="I1444" s="256">
        <v>250</v>
      </c>
      <c r="J1444" s="256">
        <v>25186</v>
      </c>
      <c r="K1444" s="568">
        <f t="shared" si="219"/>
        <v>6296500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15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217"/>
        <v>6</v>
      </c>
      <c r="C1445" s="37">
        <f t="shared" si="218"/>
        <v>41811</v>
      </c>
      <c r="D1445" s="191" t="s">
        <v>1382</v>
      </c>
      <c r="E1445" s="191">
        <v>41811</v>
      </c>
      <c r="F1445" s="192" t="s">
        <v>1102</v>
      </c>
      <c r="G1445" s="468" t="s">
        <v>561</v>
      </c>
      <c r="H1445" s="193" t="s">
        <v>1370</v>
      </c>
      <c r="I1445" s="256">
        <v>415</v>
      </c>
      <c r="J1445" s="256">
        <v>14784</v>
      </c>
      <c r="K1445" s="568">
        <f t="shared" si="219"/>
        <v>6135360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>154</v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15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217"/>
        <v>6</v>
      </c>
      <c r="C1446" s="37">
        <f t="shared" si="218"/>
        <v>41811</v>
      </c>
      <c r="D1446" s="191" t="s">
        <v>1382</v>
      </c>
      <c r="E1446" s="191">
        <v>41811</v>
      </c>
      <c r="F1446" s="192" t="s">
        <v>1160</v>
      </c>
      <c r="G1446" s="468" t="s">
        <v>561</v>
      </c>
      <c r="H1446" s="193" t="s">
        <v>1370</v>
      </c>
      <c r="I1446" s="256">
        <v>100</v>
      </c>
      <c r="J1446" s="256">
        <v>14784</v>
      </c>
      <c r="K1446" s="568">
        <f t="shared" si="219"/>
        <v>1478400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>154</v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15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217"/>
        <v>6</v>
      </c>
      <c r="C1447" s="37">
        <f t="shared" si="218"/>
        <v>41812</v>
      </c>
      <c r="D1447" s="191" t="s">
        <v>1382</v>
      </c>
      <c r="E1447" s="191">
        <v>41812</v>
      </c>
      <c r="F1447" s="192" t="s">
        <v>1146</v>
      </c>
      <c r="G1447" s="468" t="s">
        <v>565</v>
      </c>
      <c r="H1447" s="193" t="s">
        <v>1370</v>
      </c>
      <c r="I1447" s="256">
        <v>541</v>
      </c>
      <c r="J1447" s="256">
        <v>10701</v>
      </c>
      <c r="K1447" s="568">
        <f t="shared" si="219"/>
        <v>5789241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>154</v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15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217"/>
        <v>6</v>
      </c>
      <c r="C1448" s="37">
        <f t="shared" si="218"/>
        <v>41815</v>
      </c>
      <c r="D1448" s="191" t="s">
        <v>1382</v>
      </c>
      <c r="E1448" s="191">
        <v>41815</v>
      </c>
      <c r="F1448" s="192" t="s">
        <v>1075</v>
      </c>
      <c r="G1448" s="468" t="s">
        <v>566</v>
      </c>
      <c r="H1448" s="193" t="s">
        <v>1370</v>
      </c>
      <c r="I1448" s="256">
        <v>750</v>
      </c>
      <c r="J1448" s="256">
        <v>20038</v>
      </c>
      <c r="K1448" s="568">
        <f t="shared" si="219"/>
        <v>15028500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>154</v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15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217"/>
        <v>6</v>
      </c>
      <c r="C1449" s="37">
        <f t="shared" si="218"/>
        <v>41817</v>
      </c>
      <c r="D1449" s="191" t="s">
        <v>1382</v>
      </c>
      <c r="E1449" s="191">
        <v>41817</v>
      </c>
      <c r="F1449" s="192" t="s">
        <v>1073</v>
      </c>
      <c r="G1449" s="468" t="s">
        <v>568</v>
      </c>
      <c r="H1449" s="193" t="s">
        <v>1370</v>
      </c>
      <c r="I1449" s="256">
        <v>296</v>
      </c>
      <c r="J1449" s="256">
        <v>16447</v>
      </c>
      <c r="K1449" s="568">
        <f t="shared" si="219"/>
        <v>4868312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>154</v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15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217"/>
        <v>6</v>
      </c>
      <c r="C1450" s="37">
        <f t="shared" si="218"/>
        <v>41817</v>
      </c>
      <c r="D1450" s="191" t="s">
        <v>1382</v>
      </c>
      <c r="E1450" s="191">
        <v>41817</v>
      </c>
      <c r="F1450" s="192" t="s">
        <v>1172</v>
      </c>
      <c r="G1450" s="468" t="s">
        <v>568</v>
      </c>
      <c r="H1450" s="193" t="s">
        <v>1370</v>
      </c>
      <c r="I1450" s="256">
        <v>250</v>
      </c>
      <c r="J1450" s="256">
        <v>16262</v>
      </c>
      <c r="K1450" s="568">
        <f t="shared" si="219"/>
        <v>4065500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>154</v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15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217"/>
        <v>6</v>
      </c>
      <c r="C1451" s="37">
        <f t="shared" si="218"/>
        <v>41817</v>
      </c>
      <c r="D1451" s="191" t="s">
        <v>1382</v>
      </c>
      <c r="E1451" s="191">
        <v>41817</v>
      </c>
      <c r="F1451" s="192" t="s">
        <v>1103</v>
      </c>
      <c r="G1451" s="468" t="s">
        <v>570</v>
      </c>
      <c r="H1451" s="193" t="s">
        <v>1370</v>
      </c>
      <c r="I1451" s="256">
        <v>100</v>
      </c>
      <c r="J1451" s="256">
        <v>17279</v>
      </c>
      <c r="K1451" s="568">
        <f t="shared" si="219"/>
        <v>1727900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>154</v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15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217"/>
        <v>6</v>
      </c>
      <c r="C1452" s="37">
        <f t="shared" si="218"/>
        <v>41817</v>
      </c>
      <c r="D1452" s="191" t="s">
        <v>1382</v>
      </c>
      <c r="E1452" s="191">
        <v>41817</v>
      </c>
      <c r="F1452" s="192" t="s">
        <v>1101</v>
      </c>
      <c r="G1452" s="468" t="s">
        <v>570</v>
      </c>
      <c r="H1452" s="193" t="s">
        <v>1370</v>
      </c>
      <c r="I1452" s="256">
        <v>40</v>
      </c>
      <c r="J1452" s="256">
        <v>22176</v>
      </c>
      <c r="K1452" s="568">
        <f t="shared" si="219"/>
        <v>887040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>154</v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15"/>
    </row>
    <row r="1453" spans="1:28" s="856" customFormat="1" ht="15.75" customHeight="1">
      <c r="A1453" s="844" t="str">
        <f>IF(B1453&lt;&gt;"",IF(AND(B1453&gt;=_TM1,B1453&lt;=_TM2,OR(TH!L1453="1111",TH!M1453="1111")),TH!D1453,""),"")</f>
        <v/>
      </c>
      <c r="B1453" s="845">
        <f t="shared" si="217"/>
        <v>7</v>
      </c>
      <c r="C1453" s="933">
        <f t="shared" si="218"/>
        <v>41821</v>
      </c>
      <c r="D1453" s="191" t="s">
        <v>1382</v>
      </c>
      <c r="E1453" s="847">
        <v>41821</v>
      </c>
      <c r="F1453" s="857" t="s">
        <v>1150</v>
      </c>
      <c r="G1453" s="858"/>
      <c r="H1453" s="909" t="s">
        <v>1370</v>
      </c>
      <c r="I1453" s="851">
        <v>4801</v>
      </c>
      <c r="J1453" s="851">
        <v>9500</v>
      </c>
      <c r="K1453" s="852">
        <f t="shared" si="219"/>
        <v>45609500</v>
      </c>
      <c r="L1453" s="843" t="s">
        <v>167</v>
      </c>
      <c r="M1453" s="843" t="s">
        <v>159</v>
      </c>
      <c r="N1453" s="52" t="str">
        <f>IF(AND('331-CT'!$E$7=TH!H1453,OR(L1453="331",M1453="331")),"331",IF(AND(OR(L1453="131",M1453="131"),H1453='131-CT'!$E$7),"131",""))</f>
        <v/>
      </c>
      <c r="O1453" s="89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>x</v>
      </c>
      <c r="AB1453" s="854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217"/>
        <v>7</v>
      </c>
      <c r="C1454" s="37">
        <f t="shared" si="218"/>
        <v>41835</v>
      </c>
      <c r="D1454" s="191" t="s">
        <v>1382</v>
      </c>
      <c r="E1454" s="191">
        <v>41835</v>
      </c>
      <c r="F1454" s="192" t="s">
        <v>1080</v>
      </c>
      <c r="G1454" s="468"/>
      <c r="H1454" s="193" t="s">
        <v>1370</v>
      </c>
      <c r="I1454" s="256">
        <v>10230</v>
      </c>
      <c r="J1454" s="256">
        <v>8500</v>
      </c>
      <c r="K1454" s="568">
        <f t="shared" si="219"/>
        <v>86955000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>x</v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>x</v>
      </c>
      <c r="AB1454" s="815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217"/>
        <v>7</v>
      </c>
      <c r="C1455" s="37">
        <f t="shared" si="218"/>
        <v>41848</v>
      </c>
      <c r="D1455" s="191" t="s">
        <v>1382</v>
      </c>
      <c r="E1455" s="191">
        <v>41848</v>
      </c>
      <c r="F1455" s="192" t="s">
        <v>1080</v>
      </c>
      <c r="G1455" s="468"/>
      <c r="H1455" s="193" t="s">
        <v>1370</v>
      </c>
      <c r="I1455" s="256">
        <v>7379</v>
      </c>
      <c r="J1455" s="256">
        <v>7500</v>
      </c>
      <c r="K1455" s="568">
        <f t="shared" si="219"/>
        <v>55342500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>x</v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>x</v>
      </c>
      <c r="AB1455" s="815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217"/>
        <v>8</v>
      </c>
      <c r="C1456" s="37">
        <f t="shared" si="218"/>
        <v>41852</v>
      </c>
      <c r="D1456" s="191" t="s">
        <v>1382</v>
      </c>
      <c r="E1456" s="191">
        <v>41852</v>
      </c>
      <c r="F1456" s="192" t="s">
        <v>1080</v>
      </c>
      <c r="G1456" s="468"/>
      <c r="H1456" s="193" t="s">
        <v>1370</v>
      </c>
      <c r="I1456" s="256">
        <v>5973</v>
      </c>
      <c r="J1456" s="256">
        <v>7200</v>
      </c>
      <c r="K1456" s="568">
        <f t="shared" si="219"/>
        <v>43005600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9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>x</v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>x</v>
      </c>
      <c r="AB1456" s="815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217"/>
        <v>8</v>
      </c>
      <c r="C1457" s="37">
        <f t="shared" si="218"/>
        <v>41866</v>
      </c>
      <c r="D1457" s="191" t="s">
        <v>1382</v>
      </c>
      <c r="E1457" s="191">
        <v>41866</v>
      </c>
      <c r="F1457" s="192" t="s">
        <v>1080</v>
      </c>
      <c r="G1457" s="468"/>
      <c r="H1457" s="193" t="s">
        <v>1370</v>
      </c>
      <c r="I1457" s="256">
        <v>9665</v>
      </c>
      <c r="J1457" s="256">
        <v>8500</v>
      </c>
      <c r="K1457" s="568">
        <f t="shared" si="219"/>
        <v>82152500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>x</v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>x</v>
      </c>
      <c r="AB1457" s="815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217"/>
        <v>9</v>
      </c>
      <c r="C1458" s="37">
        <f t="shared" si="218"/>
        <v>41883</v>
      </c>
      <c r="D1458" s="191" t="s">
        <v>1382</v>
      </c>
      <c r="E1458" s="191">
        <v>41883</v>
      </c>
      <c r="F1458" s="192" t="s">
        <v>1084</v>
      </c>
      <c r="G1458" s="468"/>
      <c r="H1458" s="193" t="s">
        <v>1370</v>
      </c>
      <c r="I1458" s="256">
        <v>10578</v>
      </c>
      <c r="J1458" s="256">
        <v>9500</v>
      </c>
      <c r="K1458" s="568">
        <f t="shared" si="219"/>
        <v>100491000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>x</v>
      </c>
      <c r="AB1458" s="815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217"/>
        <v>9</v>
      </c>
      <c r="C1459" s="37">
        <f t="shared" si="218"/>
        <v>41892</v>
      </c>
      <c r="D1459" s="191" t="s">
        <v>1382</v>
      </c>
      <c r="E1459" s="191">
        <v>41892</v>
      </c>
      <c r="F1459" s="192" t="s">
        <v>1080</v>
      </c>
      <c r="G1459" s="468"/>
      <c r="H1459" s="193" t="s">
        <v>1370</v>
      </c>
      <c r="I1459" s="256">
        <v>7247</v>
      </c>
      <c r="J1459" s="256">
        <v>8500</v>
      </c>
      <c r="K1459" s="568">
        <f t="shared" si="219"/>
        <v>61599500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>x</v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>x</v>
      </c>
      <c r="AB1459" s="815"/>
    </row>
    <row r="1460" spans="1:28" s="856" customFormat="1" ht="15.75" customHeight="1">
      <c r="A1460" s="844" t="str">
        <f>IF(B1460&lt;&gt;"",IF(AND(B1460&gt;=_TM1,B1460&lt;=_TM2,OR(TH!L1460="1111",TH!M1460="1111")),TH!D1460,""),"")</f>
        <v/>
      </c>
      <c r="B1460" s="845">
        <f t="shared" si="217"/>
        <v>10</v>
      </c>
      <c r="C1460" s="933">
        <f t="shared" si="218"/>
        <v>41913</v>
      </c>
      <c r="D1460" s="191" t="s">
        <v>1382</v>
      </c>
      <c r="E1460" s="847">
        <v>41913</v>
      </c>
      <c r="F1460" s="857" t="s">
        <v>1016</v>
      </c>
      <c r="G1460" s="858"/>
      <c r="H1460" s="909" t="s">
        <v>1370</v>
      </c>
      <c r="I1460" s="851">
        <v>1777</v>
      </c>
      <c r="J1460" s="851">
        <v>9450</v>
      </c>
      <c r="K1460" s="852">
        <f t="shared" si="219"/>
        <v>16792650</v>
      </c>
      <c r="L1460" s="843" t="s">
        <v>167</v>
      </c>
      <c r="M1460" s="843" t="s">
        <v>159</v>
      </c>
      <c r="N1460" s="52" t="str">
        <f>IF(AND('331-CT'!$E$7=TH!H1460,OR(L1460="331",M1460="331")),"331",IF(AND(OR(L1460="131",M1460="131"),H1460='131-CT'!$E$7),"131",""))</f>
        <v/>
      </c>
      <c r="O1460" s="89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54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217"/>
        <v>10</v>
      </c>
      <c r="C1461" s="37">
        <f t="shared" si="218"/>
        <v>41917</v>
      </c>
      <c r="D1461" s="191" t="s">
        <v>1382</v>
      </c>
      <c r="E1461" s="191">
        <v>41917</v>
      </c>
      <c r="F1461" s="192" t="s">
        <v>1084</v>
      </c>
      <c r="G1461" s="468"/>
      <c r="H1461" s="193" t="s">
        <v>1370</v>
      </c>
      <c r="I1461" s="256">
        <v>1629</v>
      </c>
      <c r="J1461" s="256">
        <v>9500</v>
      </c>
      <c r="K1461" s="568">
        <f t="shared" si="219"/>
        <v>15475500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15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217"/>
        <v>10</v>
      </c>
      <c r="C1462" s="37">
        <f t="shared" si="218"/>
        <v>41917</v>
      </c>
      <c r="D1462" s="191" t="s">
        <v>1382</v>
      </c>
      <c r="E1462" s="191">
        <v>41917</v>
      </c>
      <c r="F1462" s="192" t="s">
        <v>1080</v>
      </c>
      <c r="G1462" s="468"/>
      <c r="H1462" s="193" t="s">
        <v>1370</v>
      </c>
      <c r="I1462" s="256">
        <v>1663</v>
      </c>
      <c r="J1462" s="256">
        <v>7200</v>
      </c>
      <c r="K1462" s="568">
        <f t="shared" si="219"/>
        <v>11973600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>x</v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15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217"/>
        <v>10</v>
      </c>
      <c r="C1463" s="37">
        <f t="shared" si="218"/>
        <v>41927</v>
      </c>
      <c r="D1463" s="191" t="s">
        <v>1382</v>
      </c>
      <c r="E1463" s="191">
        <v>41927</v>
      </c>
      <c r="F1463" s="192" t="s">
        <v>1080</v>
      </c>
      <c r="G1463" s="468"/>
      <c r="H1463" s="193" t="s">
        <v>1370</v>
      </c>
      <c r="I1463" s="256">
        <v>1821</v>
      </c>
      <c r="J1463" s="256">
        <v>7500</v>
      </c>
      <c r="K1463" s="568">
        <f t="shared" si="219"/>
        <v>13657500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9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>x</v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15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217"/>
        <v>10</v>
      </c>
      <c r="C1464" s="37">
        <f t="shared" si="218"/>
        <v>41927</v>
      </c>
      <c r="D1464" s="191" t="s">
        <v>1382</v>
      </c>
      <c r="E1464" s="191">
        <v>41927</v>
      </c>
      <c r="F1464" s="192" t="s">
        <v>1016</v>
      </c>
      <c r="G1464" s="468"/>
      <c r="H1464" s="193" t="s">
        <v>1370</v>
      </c>
      <c r="I1464" s="256">
        <v>4879</v>
      </c>
      <c r="J1464" s="256">
        <v>9600</v>
      </c>
      <c r="K1464" s="568">
        <f t="shared" si="219"/>
        <v>46838400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15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217"/>
        <v>10</v>
      </c>
      <c r="C1465" s="37">
        <f t="shared" si="218"/>
        <v>41933</v>
      </c>
      <c r="D1465" s="191" t="s">
        <v>1382</v>
      </c>
      <c r="E1465" s="191">
        <v>41933</v>
      </c>
      <c r="F1465" s="192" t="s">
        <v>1080</v>
      </c>
      <c r="G1465" s="468"/>
      <c r="H1465" s="193" t="s">
        <v>1370</v>
      </c>
      <c r="I1465" s="256">
        <v>14240</v>
      </c>
      <c r="J1465" s="256">
        <v>8500</v>
      </c>
      <c r="K1465" s="568">
        <f t="shared" si="219"/>
        <v>121040000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>x</v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15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217"/>
        <v>10</v>
      </c>
      <c r="C1466" s="37">
        <f t="shared" si="218"/>
        <v>41933</v>
      </c>
      <c r="D1466" s="191" t="s">
        <v>1382</v>
      </c>
      <c r="E1466" s="191">
        <v>41933</v>
      </c>
      <c r="F1466" s="192" t="s">
        <v>1016</v>
      </c>
      <c r="G1466" s="468"/>
      <c r="H1466" s="193" t="s">
        <v>1370</v>
      </c>
      <c r="I1466" s="256">
        <v>5508</v>
      </c>
      <c r="J1466" s="256">
        <v>9600</v>
      </c>
      <c r="K1466" s="568">
        <f t="shared" si="219"/>
        <v>52876800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15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ref="B1467:B1512" si="220">IF(C1467&lt;&gt;"",MONTH(C1467),"")</f>
        <v>10</v>
      </c>
      <c r="C1467" s="37">
        <f t="shared" ref="C1467:C1474" si="221">E1467</f>
        <v>41939</v>
      </c>
      <c r="D1467" s="191" t="s">
        <v>1382</v>
      </c>
      <c r="E1467" s="191">
        <v>41939</v>
      </c>
      <c r="F1467" s="192" t="s">
        <v>1016</v>
      </c>
      <c r="G1467" s="468"/>
      <c r="H1467" s="193" t="s">
        <v>1370</v>
      </c>
      <c r="I1467" s="256">
        <v>5195</v>
      </c>
      <c r="J1467" s="256">
        <v>9600</v>
      </c>
      <c r="K1467" s="568">
        <f t="shared" ref="K1467:K1474" si="222">ROUND(I1467*J1467,0)</f>
        <v>49872000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15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220"/>
        <v>11</v>
      </c>
      <c r="C1468" s="37">
        <f t="shared" si="221"/>
        <v>41944</v>
      </c>
      <c r="D1468" s="191" t="s">
        <v>1382</v>
      </c>
      <c r="E1468" s="191">
        <v>41944</v>
      </c>
      <c r="F1468" s="192" t="s">
        <v>1016</v>
      </c>
      <c r="G1468" s="468"/>
      <c r="H1468" s="193" t="s">
        <v>1370</v>
      </c>
      <c r="I1468" s="256">
        <v>6242</v>
      </c>
      <c r="J1468" s="256">
        <v>9600</v>
      </c>
      <c r="K1468" s="568">
        <f t="shared" si="222"/>
        <v>59923200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15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220"/>
        <v>11</v>
      </c>
      <c r="C1469" s="37">
        <f t="shared" si="221"/>
        <v>41950</v>
      </c>
      <c r="D1469" s="191" t="s">
        <v>1382</v>
      </c>
      <c r="E1469" s="191">
        <v>41950</v>
      </c>
      <c r="F1469" s="192" t="s">
        <v>1016</v>
      </c>
      <c r="G1469" s="468"/>
      <c r="H1469" s="193" t="s">
        <v>1370</v>
      </c>
      <c r="I1469" s="256">
        <v>3526</v>
      </c>
      <c r="J1469" s="256">
        <v>9600</v>
      </c>
      <c r="K1469" s="568">
        <f t="shared" si="222"/>
        <v>33849600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15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220"/>
        <v>11</v>
      </c>
      <c r="C1470" s="37">
        <f t="shared" si="221"/>
        <v>41961</v>
      </c>
      <c r="D1470" s="191" t="s">
        <v>1382</v>
      </c>
      <c r="E1470" s="191">
        <v>41961</v>
      </c>
      <c r="F1470" s="192" t="s">
        <v>1080</v>
      </c>
      <c r="G1470" s="468"/>
      <c r="H1470" s="193" t="s">
        <v>1370</v>
      </c>
      <c r="I1470" s="256">
        <v>10090</v>
      </c>
      <c r="J1470" s="256">
        <v>8500</v>
      </c>
      <c r="K1470" s="568">
        <f t="shared" si="222"/>
        <v>85765000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>x</v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15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220"/>
        <v>11</v>
      </c>
      <c r="C1471" s="37">
        <f t="shared" si="221"/>
        <v>41964</v>
      </c>
      <c r="D1471" s="191" t="s">
        <v>1382</v>
      </c>
      <c r="E1471" s="191">
        <v>41964</v>
      </c>
      <c r="F1471" s="192" t="s">
        <v>1109</v>
      </c>
      <c r="G1471" s="468"/>
      <c r="H1471" s="193" t="s">
        <v>1370</v>
      </c>
      <c r="I1471" s="256">
        <v>2032</v>
      </c>
      <c r="J1471" s="256">
        <v>11600</v>
      </c>
      <c r="K1471" s="568">
        <f t="shared" si="222"/>
        <v>23571200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15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220"/>
        <v>12</v>
      </c>
      <c r="C1472" s="37">
        <f t="shared" si="221"/>
        <v>41974</v>
      </c>
      <c r="D1472" s="191" t="s">
        <v>1382</v>
      </c>
      <c r="E1472" s="191">
        <v>41974</v>
      </c>
      <c r="F1472" s="192" t="s">
        <v>1016</v>
      </c>
      <c r="G1472" s="468"/>
      <c r="H1472" s="193" t="s">
        <v>1370</v>
      </c>
      <c r="I1472" s="256">
        <v>4756</v>
      </c>
      <c r="J1472" s="256">
        <v>9600</v>
      </c>
      <c r="K1472" s="568">
        <f t="shared" si="222"/>
        <v>45657600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15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220"/>
        <v>12</v>
      </c>
      <c r="C1473" s="37">
        <f t="shared" si="221"/>
        <v>41988</v>
      </c>
      <c r="D1473" s="191" t="s">
        <v>1382</v>
      </c>
      <c r="E1473" s="191">
        <v>41988</v>
      </c>
      <c r="F1473" s="192" t="s">
        <v>1113</v>
      </c>
      <c r="G1473" s="468"/>
      <c r="H1473" s="193" t="s">
        <v>1370</v>
      </c>
      <c r="I1473" s="256">
        <v>1305</v>
      </c>
      <c r="J1473" s="256">
        <v>9600</v>
      </c>
      <c r="K1473" s="568">
        <f t="shared" si="222"/>
        <v>12528000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15"/>
    </row>
    <row r="1474" spans="1:28" s="856" customFormat="1" ht="15.75" customHeight="1">
      <c r="A1474" s="844" t="str">
        <f>IF(B1474&lt;&gt;"",IF(AND(B1474&gt;=_TM1,B1474&lt;=_TM2,OR(TH!L1474="1111",TH!M1474="1111")),TH!D1474,""),"")</f>
        <v/>
      </c>
      <c r="B1474" s="845">
        <f t="shared" si="220"/>
        <v>1</v>
      </c>
      <c r="C1474" s="933">
        <f t="shared" si="221"/>
        <v>41645</v>
      </c>
      <c r="D1474" s="847" t="s">
        <v>1383</v>
      </c>
      <c r="E1474" s="847">
        <v>41645</v>
      </c>
      <c r="F1474" s="857" t="s">
        <v>418</v>
      </c>
      <c r="G1474" s="858" t="s">
        <v>419</v>
      </c>
      <c r="H1474" s="850" t="s">
        <v>1376</v>
      </c>
      <c r="I1474" s="851">
        <v>2110</v>
      </c>
      <c r="J1474" s="851">
        <v>5680.7204068749725</v>
      </c>
      <c r="K1474" s="852">
        <f t="shared" si="222"/>
        <v>11986320</v>
      </c>
      <c r="L1474" s="934" t="s">
        <v>169</v>
      </c>
      <c r="M1474" s="853" t="s">
        <v>167</v>
      </c>
      <c r="N1474" s="52" t="str">
        <f>IF(AND('331-CT'!$E$7=TH!H1474,OR(L1474="331",M1474="331")),"331",IF(AND(OR(L1474="131",M1474="131"),H1474='131-CT'!$E$7),"131",""))</f>
        <v/>
      </c>
      <c r="O1474" s="89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54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220"/>
        <v>1</v>
      </c>
      <c r="C1475" s="48">
        <f t="shared" ref="C1475:C1538" si="223">E1475</f>
        <v>41645</v>
      </c>
      <c r="D1475" s="914" t="s">
        <v>1383</v>
      </c>
      <c r="E1475" s="914">
        <v>41645</v>
      </c>
      <c r="F1475" s="915" t="s">
        <v>422</v>
      </c>
      <c r="G1475" s="936" t="s">
        <v>423</v>
      </c>
      <c r="H1475" s="919" t="s">
        <v>1376</v>
      </c>
      <c r="I1475" s="254">
        <v>500</v>
      </c>
      <c r="J1475" s="254">
        <v>13025.593459007674</v>
      </c>
      <c r="K1475" s="916">
        <f t="shared" ref="K1475:K1538" si="224">ROUND(I1475*J1475,0)</f>
        <v>6512797</v>
      </c>
      <c r="L1475" s="896" t="s">
        <v>169</v>
      </c>
      <c r="M1475" s="935" t="s">
        <v>167</v>
      </c>
      <c r="N1475" s="52" t="str">
        <f>IF(AND('331-CT'!$E$7=TH!H1475,OR(L1475="331",M1475="331")),"331",IF(AND(OR(L1475="131",M1475="131"),H1475='131-CT'!$E$7),"131",""))</f>
        <v/>
      </c>
      <c r="O1475" s="89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54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220"/>
        <v>1</v>
      </c>
      <c r="C1476" s="48">
        <f t="shared" si="223"/>
        <v>41645</v>
      </c>
      <c r="D1476" s="914" t="s">
        <v>1383</v>
      </c>
      <c r="E1476" s="914">
        <v>41645</v>
      </c>
      <c r="F1476" s="915" t="s">
        <v>446</v>
      </c>
      <c r="G1476" s="936" t="s">
        <v>423</v>
      </c>
      <c r="H1476" s="919" t="s">
        <v>1376</v>
      </c>
      <c r="I1476" s="254">
        <v>1000</v>
      </c>
      <c r="J1476" s="254">
        <v>3577.5434590076748</v>
      </c>
      <c r="K1476" s="916">
        <f t="shared" si="224"/>
        <v>3577543</v>
      </c>
      <c r="L1476" s="896" t="s">
        <v>169</v>
      </c>
      <c r="M1476" s="935" t="s">
        <v>167</v>
      </c>
      <c r="N1476" s="52" t="str">
        <f>IF(AND('331-CT'!$E$7=TH!H1476,OR(L1476="331",M1476="331")),"331",IF(AND(OR(L1476="131",M1476="131"),H1476='131-CT'!$E$7),"131",""))</f>
        <v/>
      </c>
      <c r="O1476" s="89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54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220"/>
        <v>1</v>
      </c>
      <c r="C1477" s="48">
        <f t="shared" si="223"/>
        <v>41664</v>
      </c>
      <c r="D1477" s="914" t="s">
        <v>1383</v>
      </c>
      <c r="E1477" s="914">
        <v>41664</v>
      </c>
      <c r="F1477" s="915" t="s">
        <v>424</v>
      </c>
      <c r="G1477" s="936" t="s">
        <v>425</v>
      </c>
      <c r="H1477" s="919" t="s">
        <v>1376</v>
      </c>
      <c r="I1477" s="254">
        <v>510</v>
      </c>
      <c r="J1477" s="254">
        <v>9972.2724001841434</v>
      </c>
      <c r="K1477" s="916">
        <f t="shared" si="224"/>
        <v>5085859</v>
      </c>
      <c r="L1477" s="896" t="s">
        <v>169</v>
      </c>
      <c r="M1477" s="935" t="s">
        <v>167</v>
      </c>
      <c r="N1477" s="52" t="str">
        <f>IF(AND('331-CT'!$E$7=TH!H1477,OR(L1477="331",M1477="331")),"331",IF(AND(OR(L1477="131",M1477="131"),H1477='131-CT'!$E$7),"131",""))</f>
        <v/>
      </c>
      <c r="O1477" s="89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54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220"/>
        <v>1</v>
      </c>
      <c r="C1478" s="48">
        <f t="shared" si="223"/>
        <v>41664</v>
      </c>
      <c r="D1478" s="914" t="s">
        <v>1383</v>
      </c>
      <c r="E1478" s="914">
        <v>41664</v>
      </c>
      <c r="F1478" s="915" t="s">
        <v>427</v>
      </c>
      <c r="G1478" s="936" t="s">
        <v>428</v>
      </c>
      <c r="H1478" s="919" t="s">
        <v>1376</v>
      </c>
      <c r="I1478" s="254">
        <v>563</v>
      </c>
      <c r="J1478" s="254">
        <v>10837.503828457053</v>
      </c>
      <c r="K1478" s="916">
        <f t="shared" si="224"/>
        <v>6101515</v>
      </c>
      <c r="L1478" s="896" t="s">
        <v>169</v>
      </c>
      <c r="M1478" s="935" t="s">
        <v>167</v>
      </c>
      <c r="N1478" s="52" t="str">
        <f>IF(AND('331-CT'!$E$7=TH!H1478,OR(L1478="331",M1478="331")),"331",IF(AND(OR(L1478="131",M1478="131"),H1478='131-CT'!$E$7),"131",""))</f>
        <v/>
      </c>
      <c r="O1478" s="89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54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220"/>
        <v>1</v>
      </c>
      <c r="C1479" s="48">
        <f t="shared" si="223"/>
        <v>41664</v>
      </c>
      <c r="D1479" s="914" t="s">
        <v>1383</v>
      </c>
      <c r="E1479" s="914">
        <v>41664</v>
      </c>
      <c r="F1479" s="915" t="s">
        <v>429</v>
      </c>
      <c r="G1479" s="936" t="s">
        <v>428</v>
      </c>
      <c r="H1479" s="919" t="s">
        <v>1376</v>
      </c>
      <c r="I1479" s="254">
        <v>234</v>
      </c>
      <c r="J1479" s="254">
        <v>10412.910911999126</v>
      </c>
      <c r="K1479" s="916">
        <f t="shared" si="224"/>
        <v>2436621</v>
      </c>
      <c r="L1479" s="896" t="s">
        <v>169</v>
      </c>
      <c r="M1479" s="935" t="s">
        <v>167</v>
      </c>
      <c r="N1479" s="52" t="str">
        <f>IF(AND('331-CT'!$E$7=TH!H1479,OR(L1479="331",M1479="331")),"331",IF(AND(OR(L1479="131",M1479="131"),H1479='131-CT'!$E$7),"131",""))</f>
        <v/>
      </c>
      <c r="O1479" s="89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54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220"/>
        <v>1</v>
      </c>
      <c r="C1480" s="48">
        <f t="shared" si="223"/>
        <v>41664</v>
      </c>
      <c r="D1480" s="914" t="s">
        <v>1383</v>
      </c>
      <c r="E1480" s="914">
        <v>41664</v>
      </c>
      <c r="F1480" s="915" t="s">
        <v>430</v>
      </c>
      <c r="G1480" s="936" t="s">
        <v>428</v>
      </c>
      <c r="H1480" s="919" t="s">
        <v>1376</v>
      </c>
      <c r="I1480" s="254">
        <v>233</v>
      </c>
      <c r="J1480" s="254">
        <v>6855.1984289647553</v>
      </c>
      <c r="K1480" s="916">
        <f t="shared" si="224"/>
        <v>1597261</v>
      </c>
      <c r="L1480" s="896" t="s">
        <v>169</v>
      </c>
      <c r="M1480" s="935" t="s">
        <v>167</v>
      </c>
      <c r="N1480" s="52" t="str">
        <f>IF(AND('331-CT'!$E$7=TH!H1480,OR(L1480="331",M1480="331")),"331",IF(AND(OR(L1480="131",M1480="131"),H1480='131-CT'!$E$7),"131",""))</f>
        <v/>
      </c>
      <c r="O1480" s="89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54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220"/>
        <v>1</v>
      </c>
      <c r="C1481" s="48">
        <f t="shared" si="223"/>
        <v>41664</v>
      </c>
      <c r="D1481" s="914" t="s">
        <v>1383</v>
      </c>
      <c r="E1481" s="914">
        <v>41664</v>
      </c>
      <c r="F1481" s="915" t="s">
        <v>431</v>
      </c>
      <c r="G1481" s="936" t="s">
        <v>428</v>
      </c>
      <c r="H1481" s="919" t="s">
        <v>1376</v>
      </c>
      <c r="I1481" s="254">
        <v>308</v>
      </c>
      <c r="J1481" s="254">
        <v>9159.919459007675</v>
      </c>
      <c r="K1481" s="916">
        <f t="shared" si="224"/>
        <v>2821255</v>
      </c>
      <c r="L1481" s="896" t="s">
        <v>169</v>
      </c>
      <c r="M1481" s="935" t="s">
        <v>167</v>
      </c>
      <c r="N1481" s="52" t="str">
        <f>IF(AND('331-CT'!$E$7=TH!H1481,OR(L1481="331",M1481="331")),"331",IF(AND(OR(L1481="131",M1481="131"),H1481='131-CT'!$E$7),"131",""))</f>
        <v/>
      </c>
      <c r="O1481" s="89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54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220"/>
        <v>1</v>
      </c>
      <c r="C1482" s="48">
        <f t="shared" si="223"/>
        <v>41664</v>
      </c>
      <c r="D1482" s="914" t="s">
        <v>1383</v>
      </c>
      <c r="E1482" s="914">
        <v>41664</v>
      </c>
      <c r="F1482" s="915" t="s">
        <v>432</v>
      </c>
      <c r="G1482" s="936" t="s">
        <v>433</v>
      </c>
      <c r="H1482" s="919" t="s">
        <v>1376</v>
      </c>
      <c r="I1482" s="254">
        <v>1038</v>
      </c>
      <c r="J1482" s="254">
        <v>11549.3992277938</v>
      </c>
      <c r="K1482" s="916">
        <f t="shared" si="224"/>
        <v>11988276</v>
      </c>
      <c r="L1482" s="896" t="s">
        <v>169</v>
      </c>
      <c r="M1482" s="935" t="s">
        <v>167</v>
      </c>
      <c r="N1482" s="52" t="str">
        <f>IF(AND('331-CT'!$E$7=TH!H1482,OR(L1482="331",M1482="331")),"331",IF(AND(OR(L1482="131",M1482="131"),H1482='131-CT'!$E$7),"131",""))</f>
        <v/>
      </c>
      <c r="O1482" s="89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54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220"/>
        <v>1</v>
      </c>
      <c r="C1483" s="48">
        <f t="shared" si="223"/>
        <v>41664</v>
      </c>
      <c r="D1483" s="914" t="s">
        <v>1383</v>
      </c>
      <c r="E1483" s="914">
        <v>41664</v>
      </c>
      <c r="F1483" s="915" t="s">
        <v>434</v>
      </c>
      <c r="G1483" s="936" t="s">
        <v>435</v>
      </c>
      <c r="H1483" s="919" t="s">
        <v>1376</v>
      </c>
      <c r="I1483" s="254">
        <v>200</v>
      </c>
      <c r="J1483" s="254">
        <v>13565.829459007673</v>
      </c>
      <c r="K1483" s="916">
        <f t="shared" si="224"/>
        <v>2713166</v>
      </c>
      <c r="L1483" s="896" t="s">
        <v>169</v>
      </c>
      <c r="M1483" s="935" t="s">
        <v>167</v>
      </c>
      <c r="N1483" s="52" t="str">
        <f>IF(AND('331-CT'!$E$7=TH!H1483,OR(L1483="331",M1483="331")),"331",IF(AND(OR(L1483="131",M1483="131"),H1483='131-CT'!$E$7),"131",""))</f>
        <v/>
      </c>
      <c r="O1483" s="89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54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220"/>
        <v>2</v>
      </c>
      <c r="C1484" s="48">
        <f t="shared" si="223"/>
        <v>41684</v>
      </c>
      <c r="D1484" s="914" t="s">
        <v>1383</v>
      </c>
      <c r="E1484" s="914">
        <v>41684</v>
      </c>
      <c r="F1484" s="915" t="s">
        <v>437</v>
      </c>
      <c r="G1484" s="936" t="s">
        <v>438</v>
      </c>
      <c r="H1484" s="919" t="s">
        <v>1376</v>
      </c>
      <c r="I1484" s="254">
        <v>588</v>
      </c>
      <c r="J1484" s="254">
        <v>9650.7885066267208</v>
      </c>
      <c r="K1484" s="916">
        <f t="shared" si="224"/>
        <v>5674664</v>
      </c>
      <c r="L1484" s="896" t="s">
        <v>169</v>
      </c>
      <c r="M1484" s="935" t="s">
        <v>167</v>
      </c>
      <c r="N1484" s="52" t="str">
        <f>IF(AND('331-CT'!$E$7=TH!H1484,OR(L1484="331",M1484="331")),"331",IF(AND(OR(L1484="131",M1484="131"),H1484='131-CT'!$E$7),"131",""))</f>
        <v/>
      </c>
      <c r="O1484" s="89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54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220"/>
        <v>2</v>
      </c>
      <c r="C1485" s="48">
        <f t="shared" si="223"/>
        <v>41684</v>
      </c>
      <c r="D1485" s="914" t="s">
        <v>1383</v>
      </c>
      <c r="E1485" s="914">
        <v>41684</v>
      </c>
      <c r="F1485" s="915" t="s">
        <v>437</v>
      </c>
      <c r="G1485" s="936" t="s">
        <v>438</v>
      </c>
      <c r="H1485" s="919" t="s">
        <v>1376</v>
      </c>
      <c r="I1485" s="254">
        <v>598</v>
      </c>
      <c r="J1485" s="254">
        <v>9008.9077533220534</v>
      </c>
      <c r="K1485" s="916">
        <f t="shared" si="224"/>
        <v>5387327</v>
      </c>
      <c r="L1485" s="896" t="s">
        <v>169</v>
      </c>
      <c r="M1485" s="935" t="s">
        <v>167</v>
      </c>
      <c r="N1485" s="52" t="str">
        <f>IF(AND('331-CT'!$E$7=TH!H1485,OR(L1485="331",M1485="331")),"331",IF(AND(OR(L1485="131",M1485="131"),H1485='131-CT'!$E$7),"131",""))</f>
        <v/>
      </c>
      <c r="O1485" s="89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54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220"/>
        <v>2</v>
      </c>
      <c r="C1486" s="48">
        <f t="shared" si="223"/>
        <v>41689</v>
      </c>
      <c r="D1486" s="914" t="s">
        <v>1383</v>
      </c>
      <c r="E1486" s="914">
        <v>41689</v>
      </c>
      <c r="F1486" s="915" t="s">
        <v>440</v>
      </c>
      <c r="G1486" s="936" t="s">
        <v>441</v>
      </c>
      <c r="H1486" s="919" t="s">
        <v>1376</v>
      </c>
      <c r="I1486" s="254">
        <v>160</v>
      </c>
      <c r="J1486" s="254">
        <v>16891.169459007673</v>
      </c>
      <c r="K1486" s="916">
        <f t="shared" si="224"/>
        <v>2702587</v>
      </c>
      <c r="L1486" s="896" t="s">
        <v>169</v>
      </c>
      <c r="M1486" s="935" t="s">
        <v>167</v>
      </c>
      <c r="N1486" s="52" t="str">
        <f>IF(AND('331-CT'!$E$7=TH!H1486,OR(L1486="331",M1486="331")),"331",IF(AND(OR(L1486="131",M1486="131"),H1486='131-CT'!$E$7),"131",""))</f>
        <v/>
      </c>
      <c r="O1486" s="89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54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220"/>
        <v>2</v>
      </c>
      <c r="C1487" s="48">
        <f t="shared" si="223"/>
        <v>41690</v>
      </c>
      <c r="D1487" s="914" t="s">
        <v>1383</v>
      </c>
      <c r="E1487" s="914">
        <v>41690</v>
      </c>
      <c r="F1487" s="915" t="s">
        <v>424</v>
      </c>
      <c r="G1487" s="936" t="s">
        <v>443</v>
      </c>
      <c r="H1487" s="919" t="s">
        <v>1376</v>
      </c>
      <c r="I1487" s="254">
        <v>500</v>
      </c>
      <c r="J1487" s="254">
        <v>10971.519459007675</v>
      </c>
      <c r="K1487" s="916">
        <f t="shared" si="224"/>
        <v>5485760</v>
      </c>
      <c r="L1487" s="896" t="s">
        <v>169</v>
      </c>
      <c r="M1487" s="935" t="s">
        <v>167</v>
      </c>
      <c r="N1487" s="52" t="str">
        <f>IF(AND('331-CT'!$E$7=TH!H1487,OR(L1487="331",M1487="331")),"331",IF(AND(OR(L1487="131",M1487="131"),H1487='131-CT'!$E$7),"131",""))</f>
        <v/>
      </c>
      <c r="O1487" s="89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54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220"/>
        <v>2</v>
      </c>
      <c r="C1488" s="48">
        <f t="shared" si="223"/>
        <v>41691</v>
      </c>
      <c r="D1488" s="914" t="s">
        <v>1383</v>
      </c>
      <c r="E1488" s="914">
        <v>41691</v>
      </c>
      <c r="F1488" s="915" t="s">
        <v>437</v>
      </c>
      <c r="G1488" s="936" t="s">
        <v>444</v>
      </c>
      <c r="H1488" s="919" t="s">
        <v>1376</v>
      </c>
      <c r="I1488" s="254">
        <v>608</v>
      </c>
      <c r="J1488" s="254">
        <v>9390.7829458497781</v>
      </c>
      <c r="K1488" s="916">
        <f t="shared" si="224"/>
        <v>5709596</v>
      </c>
      <c r="L1488" s="896" t="s">
        <v>169</v>
      </c>
      <c r="M1488" s="935" t="s">
        <v>167</v>
      </c>
      <c r="N1488" s="52" t="str">
        <f>IF(AND('331-CT'!$E$7=TH!H1488,OR(L1488="331",M1488="331")),"331",IF(AND(OR(L1488="131",M1488="131"),H1488='131-CT'!$E$7),"131",""))</f>
        <v/>
      </c>
      <c r="O1488" s="89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54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220"/>
        <v>2</v>
      </c>
      <c r="C1489" s="48">
        <f t="shared" si="223"/>
        <v>41691</v>
      </c>
      <c r="D1489" s="914" t="s">
        <v>1383</v>
      </c>
      <c r="E1489" s="914">
        <v>41691</v>
      </c>
      <c r="F1489" s="915" t="s">
        <v>437</v>
      </c>
      <c r="G1489" s="936" t="s">
        <v>444</v>
      </c>
      <c r="H1489" s="919" t="s">
        <v>1376</v>
      </c>
      <c r="I1489" s="254">
        <v>633</v>
      </c>
      <c r="J1489" s="254">
        <v>10034.349158849696</v>
      </c>
      <c r="K1489" s="916">
        <f t="shared" si="224"/>
        <v>6351743</v>
      </c>
      <c r="L1489" s="896" t="s">
        <v>169</v>
      </c>
      <c r="M1489" s="935" t="s">
        <v>167</v>
      </c>
      <c r="N1489" s="52" t="str">
        <f>IF(AND('331-CT'!$E$7=TH!H1489,OR(L1489="331",M1489="331")),"331",IF(AND(OR(L1489="131",M1489="131"),H1489='131-CT'!$E$7),"131",""))</f>
        <v/>
      </c>
      <c r="O1489" s="89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54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220"/>
        <v>2</v>
      </c>
      <c r="C1490" s="48">
        <f t="shared" si="223"/>
        <v>41694</v>
      </c>
      <c r="D1490" s="914" t="s">
        <v>1383</v>
      </c>
      <c r="E1490" s="914">
        <v>41694</v>
      </c>
      <c r="F1490" s="915" t="s">
        <v>422</v>
      </c>
      <c r="G1490" s="936" t="s">
        <v>445</v>
      </c>
      <c r="H1490" s="919" t="s">
        <v>1376</v>
      </c>
      <c r="I1490" s="254">
        <v>490</v>
      </c>
      <c r="J1490" s="254">
        <v>15685.93986717094</v>
      </c>
      <c r="K1490" s="916">
        <f t="shared" si="224"/>
        <v>7686111</v>
      </c>
      <c r="L1490" s="896" t="s">
        <v>169</v>
      </c>
      <c r="M1490" s="935" t="s">
        <v>167</v>
      </c>
      <c r="N1490" s="52" t="str">
        <f>IF(AND('331-CT'!$E$7=TH!H1490,OR(L1490="331",M1490="331")),"331",IF(AND(OR(L1490="131",M1490="131"),H1490='131-CT'!$E$7),"131",""))</f>
        <v/>
      </c>
      <c r="O1490" s="89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54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220"/>
        <v>2</v>
      </c>
      <c r="C1491" s="48">
        <f t="shared" si="223"/>
        <v>41694</v>
      </c>
      <c r="D1491" s="914" t="s">
        <v>1383</v>
      </c>
      <c r="E1491" s="914">
        <v>41694</v>
      </c>
      <c r="F1491" s="915" t="s">
        <v>446</v>
      </c>
      <c r="G1491" s="936" t="s">
        <v>445</v>
      </c>
      <c r="H1491" s="919" t="s">
        <v>1376</v>
      </c>
      <c r="I1491" s="254">
        <v>980</v>
      </c>
      <c r="J1491" s="254">
        <v>3001.7561937015516</v>
      </c>
      <c r="K1491" s="916">
        <f t="shared" si="224"/>
        <v>2941721</v>
      </c>
      <c r="L1491" s="896" t="s">
        <v>169</v>
      </c>
      <c r="M1491" s="935" t="s">
        <v>167</v>
      </c>
      <c r="N1491" s="52" t="str">
        <f>IF(AND('331-CT'!$E$7=TH!H1491,OR(L1491="331",M1491="331")),"331",IF(AND(OR(L1491="131",M1491="131"),H1491='131-CT'!$E$7),"131",""))</f>
        <v/>
      </c>
      <c r="O1491" s="89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54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220"/>
        <v>2</v>
      </c>
      <c r="C1492" s="48">
        <f t="shared" si="223"/>
        <v>41697</v>
      </c>
      <c r="D1492" s="914" t="s">
        <v>1383</v>
      </c>
      <c r="E1492" s="914">
        <v>41697</v>
      </c>
      <c r="F1492" s="915" t="s">
        <v>447</v>
      </c>
      <c r="G1492" s="936" t="s">
        <v>448</v>
      </c>
      <c r="H1492" s="919" t="s">
        <v>1376</v>
      </c>
      <c r="I1492" s="254">
        <v>2500</v>
      </c>
      <c r="J1492" s="254">
        <v>5003.919459007674</v>
      </c>
      <c r="K1492" s="916">
        <f t="shared" si="224"/>
        <v>12509799</v>
      </c>
      <c r="L1492" s="896" t="s">
        <v>169</v>
      </c>
      <c r="M1492" s="935" t="s">
        <v>167</v>
      </c>
      <c r="N1492" s="52" t="str">
        <f>IF(AND('331-CT'!$E$7=TH!H1492,OR(L1492="331",M1492="331")),"331",IF(AND(OR(L1492="131",M1492="131"),H1492='131-CT'!$E$7),"131",""))</f>
        <v/>
      </c>
      <c r="O1492" s="89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54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220"/>
        <v>2</v>
      </c>
      <c r="C1493" s="48">
        <f t="shared" si="223"/>
        <v>41698</v>
      </c>
      <c r="D1493" s="914" t="s">
        <v>1383</v>
      </c>
      <c r="E1493" s="914">
        <v>41698</v>
      </c>
      <c r="F1493" s="915" t="s">
        <v>449</v>
      </c>
      <c r="G1493" s="936" t="s">
        <v>450</v>
      </c>
      <c r="H1493" s="919" t="s">
        <v>1376</v>
      </c>
      <c r="I1493" s="254">
        <v>313</v>
      </c>
      <c r="J1493" s="254">
        <v>7422.4593951099105</v>
      </c>
      <c r="K1493" s="916">
        <f t="shared" si="224"/>
        <v>2323230</v>
      </c>
      <c r="L1493" s="896" t="s">
        <v>169</v>
      </c>
      <c r="M1493" s="935" t="s">
        <v>167</v>
      </c>
      <c r="N1493" s="52" t="str">
        <f>IF(AND('331-CT'!$E$7=TH!H1493,OR(L1493="331",M1493="331")),"331",IF(AND(OR(L1493="131",M1493="131"),H1493='131-CT'!$E$7),"131",""))</f>
        <v/>
      </c>
      <c r="O1493" s="89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54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220"/>
        <v>2</v>
      </c>
      <c r="C1494" s="48">
        <f t="shared" si="223"/>
        <v>41698</v>
      </c>
      <c r="D1494" s="914" t="s">
        <v>1383</v>
      </c>
      <c r="E1494" s="914">
        <v>41698</v>
      </c>
      <c r="F1494" s="915" t="s">
        <v>431</v>
      </c>
      <c r="G1494" s="936" t="s">
        <v>450</v>
      </c>
      <c r="H1494" s="919" t="s">
        <v>1376</v>
      </c>
      <c r="I1494" s="254">
        <v>586</v>
      </c>
      <c r="J1494" s="254">
        <v>8975.8716774377081</v>
      </c>
      <c r="K1494" s="916">
        <f t="shared" si="224"/>
        <v>5259861</v>
      </c>
      <c r="L1494" s="896" t="s">
        <v>169</v>
      </c>
      <c r="M1494" s="935" t="s">
        <v>167</v>
      </c>
      <c r="N1494" s="52" t="str">
        <f>IF(AND('331-CT'!$E$7=TH!H1494,OR(L1494="331",M1494="331")),"331",IF(AND(OR(L1494="131",M1494="131"),H1494='131-CT'!$E$7),"131",""))</f>
        <v/>
      </c>
      <c r="O1494" s="89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54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220"/>
        <v>2</v>
      </c>
      <c r="C1495" s="48">
        <f t="shared" si="223"/>
        <v>41698</v>
      </c>
      <c r="D1495" s="914" t="s">
        <v>1383</v>
      </c>
      <c r="E1495" s="914">
        <v>41698</v>
      </c>
      <c r="F1495" s="915" t="s">
        <v>451</v>
      </c>
      <c r="G1495" s="936" t="s">
        <v>450</v>
      </c>
      <c r="H1495" s="919" t="s">
        <v>1376</v>
      </c>
      <c r="I1495" s="254">
        <v>310</v>
      </c>
      <c r="J1495" s="254">
        <v>13042.958168685092</v>
      </c>
      <c r="K1495" s="916">
        <f t="shared" si="224"/>
        <v>4043317</v>
      </c>
      <c r="L1495" s="896" t="s">
        <v>169</v>
      </c>
      <c r="M1495" s="935" t="s">
        <v>167</v>
      </c>
      <c r="N1495" s="52" t="str">
        <f>IF(AND('331-CT'!$E$7=TH!H1495,OR(L1495="331",M1495="331")),"331",IF(AND(OR(L1495="131",M1495="131"),H1495='131-CT'!$E$7),"131",""))</f>
        <v/>
      </c>
      <c r="O1495" s="89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54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220"/>
        <v>2</v>
      </c>
      <c r="C1496" s="48">
        <f t="shared" si="223"/>
        <v>41698</v>
      </c>
      <c r="D1496" s="914" t="s">
        <v>1383</v>
      </c>
      <c r="E1496" s="914">
        <v>41698</v>
      </c>
      <c r="F1496" s="915" t="s">
        <v>452</v>
      </c>
      <c r="G1496" s="936" t="s">
        <v>450</v>
      </c>
      <c r="H1496" s="919" t="s">
        <v>1376</v>
      </c>
      <c r="I1496" s="254">
        <v>200</v>
      </c>
      <c r="J1496" s="254">
        <v>9206.669459007675</v>
      </c>
      <c r="K1496" s="916">
        <f t="shared" si="224"/>
        <v>1841334</v>
      </c>
      <c r="L1496" s="896" t="s">
        <v>169</v>
      </c>
      <c r="M1496" s="935" t="s">
        <v>167</v>
      </c>
      <c r="N1496" s="52" t="str">
        <f>IF(AND('331-CT'!$E$7=TH!H1496,OR(L1496="331",M1496="331")),"331",IF(AND(OR(L1496="131",M1496="131"),H1496='131-CT'!$E$7),"131",""))</f>
        <v/>
      </c>
      <c r="O1496" s="89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54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220"/>
        <v>2</v>
      </c>
      <c r="C1497" s="48">
        <f t="shared" si="223"/>
        <v>41698</v>
      </c>
      <c r="D1497" s="914" t="s">
        <v>1383</v>
      </c>
      <c r="E1497" s="914">
        <v>41698</v>
      </c>
      <c r="F1497" s="915" t="s">
        <v>453</v>
      </c>
      <c r="G1497" s="936" t="s">
        <v>454</v>
      </c>
      <c r="H1497" s="919" t="s">
        <v>1376</v>
      </c>
      <c r="I1497" s="254">
        <v>210</v>
      </c>
      <c r="J1497" s="254">
        <v>12999.919459007671</v>
      </c>
      <c r="K1497" s="916">
        <f t="shared" si="224"/>
        <v>2729983</v>
      </c>
      <c r="L1497" s="896" t="s">
        <v>169</v>
      </c>
      <c r="M1497" s="935" t="s">
        <v>167</v>
      </c>
      <c r="N1497" s="52" t="str">
        <f>IF(AND('331-CT'!$E$7=TH!H1497,OR(L1497="331",M1497="331")),"331",IF(AND(OR(L1497="131",M1497="131"),H1497='131-CT'!$E$7),"131",""))</f>
        <v/>
      </c>
      <c r="O1497" s="89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54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220"/>
        <v>2</v>
      </c>
      <c r="C1498" s="48">
        <f t="shared" si="223"/>
        <v>41698</v>
      </c>
      <c r="D1498" s="914" t="s">
        <v>1383</v>
      </c>
      <c r="E1498" s="914">
        <v>41698</v>
      </c>
      <c r="F1498" s="915" t="s">
        <v>456</v>
      </c>
      <c r="G1498" s="936" t="s">
        <v>454</v>
      </c>
      <c r="H1498" s="919" t="s">
        <v>1376</v>
      </c>
      <c r="I1498" s="254">
        <v>250</v>
      </c>
      <c r="J1498" s="254">
        <v>11940.847459007675</v>
      </c>
      <c r="K1498" s="916">
        <f t="shared" si="224"/>
        <v>2985212</v>
      </c>
      <c r="L1498" s="896" t="s">
        <v>169</v>
      </c>
      <c r="M1498" s="935" t="s">
        <v>167</v>
      </c>
      <c r="N1498" s="52" t="str">
        <f>IF(AND('331-CT'!$E$7=TH!H1498,OR(L1498="331",M1498="331")),"331",IF(AND(OR(L1498="131",M1498="131"),H1498='131-CT'!$E$7),"131",""))</f>
        <v/>
      </c>
      <c r="O1498" s="89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54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220"/>
        <v>2</v>
      </c>
      <c r="C1499" s="48">
        <f t="shared" si="223"/>
        <v>41698</v>
      </c>
      <c r="D1499" s="914" t="s">
        <v>1383</v>
      </c>
      <c r="E1499" s="914">
        <v>41698</v>
      </c>
      <c r="F1499" s="915" t="s">
        <v>457</v>
      </c>
      <c r="G1499" s="936" t="s">
        <v>454</v>
      </c>
      <c r="H1499" s="919" t="s">
        <v>1376</v>
      </c>
      <c r="I1499" s="254">
        <v>100</v>
      </c>
      <c r="J1499" s="254">
        <v>9496.5394590076739</v>
      </c>
      <c r="K1499" s="916">
        <f t="shared" si="224"/>
        <v>949654</v>
      </c>
      <c r="L1499" s="896" t="s">
        <v>169</v>
      </c>
      <c r="M1499" s="935" t="s">
        <v>167</v>
      </c>
      <c r="N1499" s="52" t="str">
        <f>IF(AND('331-CT'!$E$7=TH!H1499,OR(L1499="331",M1499="331")),"331",IF(AND(OR(L1499="131",M1499="131"),H1499='131-CT'!$E$7),"131",""))</f>
        <v/>
      </c>
      <c r="O1499" s="89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54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220"/>
        <v>2</v>
      </c>
      <c r="C1500" s="48">
        <f t="shared" si="223"/>
        <v>41698</v>
      </c>
      <c r="D1500" s="914" t="s">
        <v>1383</v>
      </c>
      <c r="E1500" s="914">
        <v>41698</v>
      </c>
      <c r="F1500" s="915" t="s">
        <v>447</v>
      </c>
      <c r="G1500" s="936" t="s">
        <v>458</v>
      </c>
      <c r="H1500" s="919" t="s">
        <v>1376</v>
      </c>
      <c r="I1500" s="254">
        <v>500</v>
      </c>
      <c r="J1500" s="254">
        <v>7080.5194590076744</v>
      </c>
      <c r="K1500" s="916">
        <f t="shared" si="224"/>
        <v>3540260</v>
      </c>
      <c r="L1500" s="896" t="s">
        <v>169</v>
      </c>
      <c r="M1500" s="935" t="s">
        <v>167</v>
      </c>
      <c r="N1500" s="52" t="str">
        <f>IF(AND('331-CT'!$E$7=TH!H1500,OR(L1500="331",M1500="331")),"331",IF(AND(OR(L1500="131",M1500="131"),H1500='131-CT'!$E$7),"131",""))</f>
        <v/>
      </c>
      <c r="O1500" s="89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54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220"/>
        <v>3</v>
      </c>
      <c r="C1501" s="48">
        <f t="shared" si="223"/>
        <v>41702</v>
      </c>
      <c r="D1501" s="914" t="s">
        <v>1383</v>
      </c>
      <c r="E1501" s="914">
        <v>41702</v>
      </c>
      <c r="F1501" s="915" t="s">
        <v>460</v>
      </c>
      <c r="G1501" s="936" t="s">
        <v>461</v>
      </c>
      <c r="H1501" s="919" t="s">
        <v>1376</v>
      </c>
      <c r="I1501" s="254">
        <v>1115</v>
      </c>
      <c r="J1501" s="254">
        <v>9170.6817908462381</v>
      </c>
      <c r="K1501" s="916">
        <f t="shared" si="224"/>
        <v>10225310</v>
      </c>
      <c r="L1501" s="896" t="s">
        <v>169</v>
      </c>
      <c r="M1501" s="935" t="s">
        <v>167</v>
      </c>
      <c r="N1501" s="52" t="str">
        <f>IF(AND('331-CT'!$E$7=TH!H1501,OR(L1501="331",M1501="331")),"331",IF(AND(OR(L1501="131",M1501="131"),H1501='131-CT'!$E$7),"131",""))</f>
        <v/>
      </c>
      <c r="O1501" s="89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54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220"/>
        <v>3</v>
      </c>
      <c r="C1502" s="48">
        <f t="shared" si="223"/>
        <v>41704</v>
      </c>
      <c r="D1502" s="914" t="s">
        <v>1383</v>
      </c>
      <c r="E1502" s="914">
        <v>41704</v>
      </c>
      <c r="F1502" s="915" t="s">
        <v>424</v>
      </c>
      <c r="G1502" s="936" t="s">
        <v>463</v>
      </c>
      <c r="H1502" s="919" t="s">
        <v>1376</v>
      </c>
      <c r="I1502" s="254">
        <v>505</v>
      </c>
      <c r="J1502" s="254">
        <v>10767.840251086884</v>
      </c>
      <c r="K1502" s="916">
        <f t="shared" si="224"/>
        <v>5437759</v>
      </c>
      <c r="L1502" s="896" t="s">
        <v>169</v>
      </c>
      <c r="M1502" s="935" t="s">
        <v>167</v>
      </c>
      <c r="N1502" s="52" t="str">
        <f>IF(AND('331-CT'!$E$7=TH!H1502,OR(L1502="331",M1502="331")),"331",IF(AND(OR(L1502="131",M1502="131"),H1502='131-CT'!$E$7),"131",""))</f>
        <v/>
      </c>
      <c r="O1502" s="89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54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220"/>
        <v>3</v>
      </c>
      <c r="C1503" s="48">
        <f t="shared" si="223"/>
        <v>41704</v>
      </c>
      <c r="D1503" s="914" t="s">
        <v>1383</v>
      </c>
      <c r="E1503" s="914">
        <v>41704</v>
      </c>
      <c r="F1503" s="915" t="s">
        <v>464</v>
      </c>
      <c r="G1503" s="936" t="s">
        <v>463</v>
      </c>
      <c r="H1503" s="919" t="s">
        <v>1376</v>
      </c>
      <c r="I1503" s="254">
        <v>520</v>
      </c>
      <c r="J1503" s="254">
        <v>12576.842535930751</v>
      </c>
      <c r="K1503" s="916">
        <f t="shared" si="224"/>
        <v>6539958</v>
      </c>
      <c r="L1503" s="896" t="s">
        <v>169</v>
      </c>
      <c r="M1503" s="935" t="s">
        <v>167</v>
      </c>
      <c r="N1503" s="52" t="str">
        <f>IF(AND('331-CT'!$E$7=TH!H1503,OR(L1503="331",M1503="331")),"331",IF(AND(OR(L1503="131",M1503="131"),H1503='131-CT'!$E$7),"131",""))</f>
        <v/>
      </c>
      <c r="O1503" s="89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54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220"/>
        <v>3</v>
      </c>
      <c r="C1504" s="48">
        <f t="shared" si="223"/>
        <v>41704</v>
      </c>
      <c r="D1504" s="914" t="s">
        <v>1383</v>
      </c>
      <c r="E1504" s="914">
        <v>41704</v>
      </c>
      <c r="F1504" s="915" t="s">
        <v>447</v>
      </c>
      <c r="G1504" s="936" t="s">
        <v>465</v>
      </c>
      <c r="H1504" s="919" t="s">
        <v>1376</v>
      </c>
      <c r="I1504" s="254">
        <v>1139</v>
      </c>
      <c r="J1504" s="254">
        <v>4787.0063773571028</v>
      </c>
      <c r="K1504" s="916">
        <f t="shared" si="224"/>
        <v>5452400</v>
      </c>
      <c r="L1504" s="896" t="s">
        <v>169</v>
      </c>
      <c r="M1504" s="935" t="s">
        <v>167</v>
      </c>
      <c r="N1504" s="52" t="str">
        <f>IF(AND('331-CT'!$E$7=TH!H1504,OR(L1504="331",M1504="331")),"331",IF(AND(OR(L1504="131",M1504="131"),H1504='131-CT'!$E$7),"131",""))</f>
        <v/>
      </c>
      <c r="O1504" s="89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54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220"/>
        <v>3</v>
      </c>
      <c r="C1505" s="48">
        <f t="shared" si="223"/>
        <v>41710</v>
      </c>
      <c r="D1505" s="914" t="s">
        <v>1383</v>
      </c>
      <c r="E1505" s="914">
        <v>41710</v>
      </c>
      <c r="F1505" s="915" t="s">
        <v>467</v>
      </c>
      <c r="G1505" s="936" t="s">
        <v>468</v>
      </c>
      <c r="H1505" s="919" t="s">
        <v>1376</v>
      </c>
      <c r="I1505" s="254">
        <v>1638</v>
      </c>
      <c r="J1505" s="254">
        <v>5423.7485188367345</v>
      </c>
      <c r="K1505" s="916">
        <f t="shared" si="224"/>
        <v>8884100</v>
      </c>
      <c r="L1505" s="896" t="s">
        <v>169</v>
      </c>
      <c r="M1505" s="935" t="s">
        <v>167</v>
      </c>
      <c r="N1505" s="52" t="str">
        <f>IF(AND('331-CT'!$E$7=TH!H1505,OR(L1505="331",M1505="331")),"331",IF(AND(OR(L1505="131",M1505="131"),H1505='131-CT'!$E$7),"131",""))</f>
        <v/>
      </c>
      <c r="O1505" s="89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54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220"/>
        <v>3</v>
      </c>
      <c r="C1506" s="48">
        <f t="shared" si="223"/>
        <v>41718</v>
      </c>
      <c r="D1506" s="914" t="s">
        <v>1383</v>
      </c>
      <c r="E1506" s="914">
        <v>41718</v>
      </c>
      <c r="F1506" s="915" t="s">
        <v>447</v>
      </c>
      <c r="G1506" s="936" t="s">
        <v>469</v>
      </c>
      <c r="H1506" s="919" t="s">
        <v>1376</v>
      </c>
      <c r="I1506" s="254">
        <v>110</v>
      </c>
      <c r="J1506" s="254">
        <v>13019.119459007674</v>
      </c>
      <c r="K1506" s="916">
        <f t="shared" si="224"/>
        <v>1432103</v>
      </c>
      <c r="L1506" s="896" t="s">
        <v>169</v>
      </c>
      <c r="M1506" s="935" t="s">
        <v>167</v>
      </c>
      <c r="N1506" s="52" t="str">
        <f>IF(AND('331-CT'!$E$7=TH!H1506,OR(L1506="331",M1506="331")),"331",IF(AND(OR(L1506="131",M1506="131"),H1506='131-CT'!$E$7),"131",""))</f>
        <v/>
      </c>
      <c r="O1506" s="89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54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220"/>
        <v>3</v>
      </c>
      <c r="C1507" s="48">
        <f t="shared" si="223"/>
        <v>41718</v>
      </c>
      <c r="D1507" s="914" t="s">
        <v>1383</v>
      </c>
      <c r="E1507" s="914">
        <v>41718</v>
      </c>
      <c r="F1507" s="915" t="s">
        <v>471</v>
      </c>
      <c r="G1507" s="936" t="s">
        <v>469</v>
      </c>
      <c r="H1507" s="919" t="s">
        <v>1376</v>
      </c>
      <c r="I1507" s="254">
        <v>880</v>
      </c>
      <c r="J1507" s="254">
        <v>5071.339913553129</v>
      </c>
      <c r="K1507" s="916">
        <f t="shared" si="224"/>
        <v>4462779</v>
      </c>
      <c r="L1507" s="896" t="s">
        <v>169</v>
      </c>
      <c r="M1507" s="935" t="s">
        <v>167</v>
      </c>
      <c r="N1507" s="52" t="str">
        <f>IF(AND('331-CT'!$E$7=TH!H1507,OR(L1507="331",M1507="331")),"331",IF(AND(OR(L1507="131",M1507="131"),H1507='131-CT'!$E$7),"131",""))</f>
        <v/>
      </c>
      <c r="O1507" s="89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54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220"/>
        <v>3</v>
      </c>
      <c r="C1508" s="48">
        <f t="shared" si="223"/>
        <v>41720</v>
      </c>
      <c r="D1508" s="914" t="s">
        <v>1383</v>
      </c>
      <c r="E1508" s="914">
        <v>41720</v>
      </c>
      <c r="F1508" s="915" t="s">
        <v>447</v>
      </c>
      <c r="G1508" s="936" t="s">
        <v>472</v>
      </c>
      <c r="H1508" s="919" t="s">
        <v>1376</v>
      </c>
      <c r="I1508" s="254">
        <v>214</v>
      </c>
      <c r="J1508" s="254">
        <v>19833.797963680572</v>
      </c>
      <c r="K1508" s="916">
        <f t="shared" si="224"/>
        <v>4244433</v>
      </c>
      <c r="L1508" s="896" t="s">
        <v>169</v>
      </c>
      <c r="M1508" s="935" t="s">
        <v>167</v>
      </c>
      <c r="N1508" s="52" t="str">
        <f>IF(AND('331-CT'!$E$7=TH!H1508,OR(L1508="331",M1508="331")),"331",IF(AND(OR(L1508="131",M1508="131"),H1508='131-CT'!$E$7),"131",""))</f>
        <v/>
      </c>
      <c r="O1508" s="89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54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220"/>
        <v>3</v>
      </c>
      <c r="C1509" s="48">
        <f t="shared" si="223"/>
        <v>41724</v>
      </c>
      <c r="D1509" s="914" t="s">
        <v>1383</v>
      </c>
      <c r="E1509" s="914">
        <v>41724</v>
      </c>
      <c r="F1509" s="915" t="s">
        <v>474</v>
      </c>
      <c r="G1509" s="936" t="s">
        <v>475</v>
      </c>
      <c r="H1509" s="919" t="s">
        <v>1376</v>
      </c>
      <c r="I1509" s="254">
        <v>1029</v>
      </c>
      <c r="J1509" s="254">
        <v>12279.93889535364</v>
      </c>
      <c r="K1509" s="916">
        <f t="shared" si="224"/>
        <v>12636057</v>
      </c>
      <c r="L1509" s="896" t="s">
        <v>169</v>
      </c>
      <c r="M1509" s="935" t="s">
        <v>167</v>
      </c>
      <c r="N1509" s="52" t="str">
        <f>IF(AND('331-CT'!$E$7=TH!H1509,OR(L1509="331",M1509="331")),"331",IF(AND(OR(L1509="131",M1509="131"),H1509='131-CT'!$E$7),"131",""))</f>
        <v/>
      </c>
      <c r="O1509" s="89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54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220"/>
        <v>3</v>
      </c>
      <c r="C1510" s="48">
        <f t="shared" si="223"/>
        <v>41728</v>
      </c>
      <c r="D1510" s="914" t="s">
        <v>1383</v>
      </c>
      <c r="E1510" s="914">
        <v>41728</v>
      </c>
      <c r="F1510" s="915" t="s">
        <v>476</v>
      </c>
      <c r="G1510" s="936" t="s">
        <v>477</v>
      </c>
      <c r="H1510" s="919" t="s">
        <v>1376</v>
      </c>
      <c r="I1510" s="254">
        <v>400</v>
      </c>
      <c r="J1510" s="254">
        <v>3532.3194590076732</v>
      </c>
      <c r="K1510" s="916">
        <f t="shared" si="224"/>
        <v>1412928</v>
      </c>
      <c r="L1510" s="896" t="s">
        <v>169</v>
      </c>
      <c r="M1510" s="935" t="s">
        <v>167</v>
      </c>
      <c r="N1510" s="52" t="str">
        <f>IF(AND('331-CT'!$E$7=TH!H1510,OR(L1510="331",M1510="331")),"331",IF(AND(OR(L1510="131",M1510="131"),H1510='131-CT'!$E$7),"131",""))</f>
        <v/>
      </c>
      <c r="O1510" s="89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54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220"/>
        <v>3</v>
      </c>
      <c r="C1511" s="48">
        <f t="shared" si="223"/>
        <v>41728</v>
      </c>
      <c r="D1511" s="914" t="s">
        <v>1383</v>
      </c>
      <c r="E1511" s="914">
        <v>41728</v>
      </c>
      <c r="F1511" s="915" t="s">
        <v>479</v>
      </c>
      <c r="G1511" s="936" t="s">
        <v>477</v>
      </c>
      <c r="H1511" s="919" t="s">
        <v>1376</v>
      </c>
      <c r="I1511" s="254">
        <v>600</v>
      </c>
      <c r="J1511" s="254">
        <v>3532.3194590076741</v>
      </c>
      <c r="K1511" s="916">
        <f t="shared" si="224"/>
        <v>2119392</v>
      </c>
      <c r="L1511" s="896" t="s">
        <v>169</v>
      </c>
      <c r="M1511" s="935" t="s">
        <v>167</v>
      </c>
      <c r="N1511" s="52" t="str">
        <f>IF(AND('331-CT'!$E$7=TH!H1511,OR(L1511="331",M1511="331")),"331",IF(AND(OR(L1511="131",M1511="131"),H1511='131-CT'!$E$7),"131",""))</f>
        <v/>
      </c>
      <c r="O1511" s="89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54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220"/>
        <v>3</v>
      </c>
      <c r="C1512" s="48">
        <f t="shared" si="223"/>
        <v>41728</v>
      </c>
      <c r="D1512" s="914" t="s">
        <v>1383</v>
      </c>
      <c r="E1512" s="914">
        <v>41728</v>
      </c>
      <c r="F1512" s="915" t="s">
        <v>480</v>
      </c>
      <c r="G1512" s="936" t="s">
        <v>477</v>
      </c>
      <c r="H1512" s="919" t="s">
        <v>1376</v>
      </c>
      <c r="I1512" s="254">
        <v>400</v>
      </c>
      <c r="J1512" s="254">
        <v>3065.8394590076741</v>
      </c>
      <c r="K1512" s="916">
        <f t="shared" si="224"/>
        <v>1226336</v>
      </c>
      <c r="L1512" s="896" t="s">
        <v>169</v>
      </c>
      <c r="M1512" s="935" t="s">
        <v>167</v>
      </c>
      <c r="N1512" s="52" t="str">
        <f>IF(AND('331-CT'!$E$7=TH!H1512,OR(L1512="331",M1512="331")),"331",IF(AND(OR(L1512="131",M1512="131"),H1512='131-CT'!$E$7),"131",""))</f>
        <v/>
      </c>
      <c r="O1512" s="89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54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ref="B1513:B1576" si="225">IF(C1513&lt;&gt;"",MONTH(C1513),"")</f>
        <v>3</v>
      </c>
      <c r="C1513" s="48">
        <f t="shared" si="223"/>
        <v>41728</v>
      </c>
      <c r="D1513" s="914" t="s">
        <v>1383</v>
      </c>
      <c r="E1513" s="914">
        <v>41728</v>
      </c>
      <c r="F1513" s="915" t="s">
        <v>481</v>
      </c>
      <c r="G1513" s="936" t="s">
        <v>477</v>
      </c>
      <c r="H1513" s="919" t="s">
        <v>1376</v>
      </c>
      <c r="I1513" s="254">
        <v>50</v>
      </c>
      <c r="J1513" s="254">
        <v>13019.119459007674</v>
      </c>
      <c r="K1513" s="916">
        <f t="shared" si="224"/>
        <v>650956</v>
      </c>
      <c r="L1513" s="896" t="s">
        <v>169</v>
      </c>
      <c r="M1513" s="935" t="s">
        <v>167</v>
      </c>
      <c r="N1513" s="52" t="str">
        <f>IF(AND('331-CT'!$E$7=TH!H1513,OR(L1513="331",M1513="331")),"331",IF(AND(OR(L1513="131",M1513="131"),H1513='131-CT'!$E$7),"131",""))</f>
        <v/>
      </c>
      <c r="O1513" s="89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54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225"/>
        <v>3</v>
      </c>
      <c r="C1514" s="48">
        <f t="shared" si="223"/>
        <v>41728</v>
      </c>
      <c r="D1514" s="914" t="s">
        <v>1383</v>
      </c>
      <c r="E1514" s="914">
        <v>41728</v>
      </c>
      <c r="F1514" s="915" t="s">
        <v>482</v>
      </c>
      <c r="G1514" s="936" t="s">
        <v>483</v>
      </c>
      <c r="H1514" s="919" t="s">
        <v>1376</v>
      </c>
      <c r="I1514" s="254">
        <v>500</v>
      </c>
      <c r="J1514" s="254">
        <v>16600.119459007674</v>
      </c>
      <c r="K1514" s="916">
        <f t="shared" si="224"/>
        <v>8300060</v>
      </c>
      <c r="L1514" s="896" t="s">
        <v>169</v>
      </c>
      <c r="M1514" s="935" t="s">
        <v>167</v>
      </c>
      <c r="N1514" s="52" t="str">
        <f>IF(AND('331-CT'!$E$7=TH!H1514,OR(L1514="331",M1514="331")),"331",IF(AND(OR(L1514="131",M1514="131"),H1514='131-CT'!$E$7),"131",""))</f>
        <v/>
      </c>
      <c r="O1514" s="89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54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225"/>
        <v>3</v>
      </c>
      <c r="C1515" s="48">
        <f t="shared" si="223"/>
        <v>41728</v>
      </c>
      <c r="D1515" s="914" t="s">
        <v>1383</v>
      </c>
      <c r="E1515" s="914">
        <v>41728</v>
      </c>
      <c r="F1515" s="915" t="s">
        <v>446</v>
      </c>
      <c r="G1515" s="936" t="s">
        <v>483</v>
      </c>
      <c r="H1515" s="919" t="s">
        <v>1376</v>
      </c>
      <c r="I1515" s="254">
        <v>1000</v>
      </c>
      <c r="J1515" s="254">
        <v>2993.2394590076738</v>
      </c>
      <c r="K1515" s="916">
        <f t="shared" si="224"/>
        <v>2993239</v>
      </c>
      <c r="L1515" s="896" t="s">
        <v>169</v>
      </c>
      <c r="M1515" s="935" t="s">
        <v>167</v>
      </c>
      <c r="N1515" s="52" t="str">
        <f>IF(AND('331-CT'!$E$7=TH!H1515,OR(L1515="331",M1515="331")),"331",IF(AND(OR(L1515="131",M1515="131"),H1515='131-CT'!$E$7),"131",""))</f>
        <v/>
      </c>
      <c r="O1515" s="89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54"/>
    </row>
    <row r="1516" spans="1:28" s="856" customFormat="1" ht="15.75" customHeight="1">
      <c r="A1516" s="844" t="str">
        <f>IF(B1516&lt;&gt;"",IF(AND(B1516&gt;=_TM1,B1516&lt;=_TM2,OR(TH!L1516="1111",TH!M1516="1111")),TH!D1516,""),"")</f>
        <v/>
      </c>
      <c r="B1516" s="845">
        <f t="shared" si="225"/>
        <v>4</v>
      </c>
      <c r="C1516" s="933">
        <f t="shared" si="223"/>
        <v>41730</v>
      </c>
      <c r="D1516" s="914" t="s">
        <v>1383</v>
      </c>
      <c r="E1516" s="847">
        <v>41730</v>
      </c>
      <c r="F1516" s="857" t="s">
        <v>484</v>
      </c>
      <c r="G1516" s="858" t="s">
        <v>485</v>
      </c>
      <c r="H1516" s="850" t="s">
        <v>1376</v>
      </c>
      <c r="I1516" s="851">
        <v>302</v>
      </c>
      <c r="J1516" s="851">
        <v>12611.745371492716</v>
      </c>
      <c r="K1516" s="852">
        <f t="shared" si="224"/>
        <v>3808747</v>
      </c>
      <c r="L1516" s="934" t="s">
        <v>169</v>
      </c>
      <c r="M1516" s="853" t="s">
        <v>167</v>
      </c>
      <c r="N1516" s="52" t="str">
        <f>IF(AND('331-CT'!$E$7=TH!H1516,OR(L1516="331",M1516="331")),"331",IF(AND(OR(L1516="131",M1516="131"),H1516='131-CT'!$E$7),"131",""))</f>
        <v/>
      </c>
      <c r="O1516" s="89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54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225"/>
        <v>4</v>
      </c>
      <c r="C1517" s="48">
        <f t="shared" si="223"/>
        <v>41730</v>
      </c>
      <c r="D1517" s="914" t="s">
        <v>1383</v>
      </c>
      <c r="E1517" s="914">
        <v>41730</v>
      </c>
      <c r="F1517" s="915" t="s">
        <v>486</v>
      </c>
      <c r="G1517" s="936" t="s">
        <v>485</v>
      </c>
      <c r="H1517" s="919" t="s">
        <v>1376</v>
      </c>
      <c r="I1517" s="254">
        <v>300</v>
      </c>
      <c r="J1517" s="254">
        <v>6589.9341132145682</v>
      </c>
      <c r="K1517" s="916">
        <f t="shared" si="224"/>
        <v>1976980</v>
      </c>
      <c r="L1517" s="896" t="s">
        <v>169</v>
      </c>
      <c r="M1517" s="935" t="s">
        <v>167</v>
      </c>
      <c r="N1517" s="52" t="str">
        <f>IF(AND('331-CT'!$E$7=TH!H1517,OR(L1517="331",M1517="331")),"331",IF(AND(OR(L1517="131",M1517="131"),H1517='131-CT'!$E$7),"131",""))</f>
        <v/>
      </c>
      <c r="O1517" s="89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54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225"/>
        <v>4</v>
      </c>
      <c r="C1518" s="48">
        <f t="shared" si="223"/>
        <v>41730</v>
      </c>
      <c r="D1518" s="914" t="s">
        <v>1383</v>
      </c>
      <c r="E1518" s="914">
        <v>41730</v>
      </c>
      <c r="F1518" s="915" t="s">
        <v>487</v>
      </c>
      <c r="G1518" s="936" t="s">
        <v>485</v>
      </c>
      <c r="H1518" s="919" t="s">
        <v>1376</v>
      </c>
      <c r="I1518" s="254">
        <v>402</v>
      </c>
      <c r="J1518" s="254">
        <v>9672.7375958016328</v>
      </c>
      <c r="K1518" s="916">
        <f t="shared" si="224"/>
        <v>3888441</v>
      </c>
      <c r="L1518" s="896" t="s">
        <v>169</v>
      </c>
      <c r="M1518" s="935" t="s">
        <v>167</v>
      </c>
      <c r="N1518" s="52" t="str">
        <f>IF(AND('331-CT'!$E$7=TH!H1518,OR(L1518="331",M1518="331")),"331",IF(AND(OR(L1518="131",M1518="131"),H1518='131-CT'!$E$7),"131",""))</f>
        <v/>
      </c>
      <c r="O1518" s="89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54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225"/>
        <v>4</v>
      </c>
      <c r="C1519" s="48">
        <f t="shared" si="223"/>
        <v>41730</v>
      </c>
      <c r="D1519" s="914" t="s">
        <v>1383</v>
      </c>
      <c r="E1519" s="914">
        <v>41730</v>
      </c>
      <c r="F1519" s="915" t="s">
        <v>488</v>
      </c>
      <c r="G1519" s="936" t="s">
        <v>485</v>
      </c>
      <c r="H1519" s="919" t="s">
        <v>1376</v>
      </c>
      <c r="I1519" s="254">
        <v>550</v>
      </c>
      <c r="J1519" s="254">
        <v>6743.2522950327502</v>
      </c>
      <c r="K1519" s="916">
        <f t="shared" si="224"/>
        <v>3708789</v>
      </c>
      <c r="L1519" s="896" t="s">
        <v>169</v>
      </c>
      <c r="M1519" s="935" t="s">
        <v>167</v>
      </c>
      <c r="N1519" s="52" t="str">
        <f>IF(AND('331-CT'!$E$7=TH!H1519,OR(L1519="331",M1519="331")),"331",IF(AND(OR(L1519="131",M1519="131"),H1519='131-CT'!$E$7),"131",""))</f>
        <v/>
      </c>
      <c r="O1519" s="89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54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225"/>
        <v>4</v>
      </c>
      <c r="C1520" s="48">
        <f t="shared" si="223"/>
        <v>41730</v>
      </c>
      <c r="D1520" s="914" t="s">
        <v>1383</v>
      </c>
      <c r="E1520" s="914">
        <v>41730</v>
      </c>
      <c r="F1520" s="915" t="s">
        <v>489</v>
      </c>
      <c r="G1520" s="936" t="s">
        <v>490</v>
      </c>
      <c r="H1520" s="919" t="s">
        <v>1376</v>
      </c>
      <c r="I1520" s="254">
        <v>260</v>
      </c>
      <c r="J1520" s="254">
        <v>13772.645651676105</v>
      </c>
      <c r="K1520" s="916">
        <f t="shared" si="224"/>
        <v>3580888</v>
      </c>
      <c r="L1520" s="896" t="s">
        <v>169</v>
      </c>
      <c r="M1520" s="935" t="s">
        <v>167</v>
      </c>
      <c r="N1520" s="52" t="str">
        <f>IF(AND('331-CT'!$E$7=TH!H1520,OR(L1520="331",M1520="331")),"331",IF(AND(OR(L1520="131",M1520="131"),H1520='131-CT'!$E$7),"131",""))</f>
        <v/>
      </c>
      <c r="O1520" s="89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54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225"/>
        <v>4</v>
      </c>
      <c r="C1521" s="48">
        <f t="shared" si="223"/>
        <v>41730</v>
      </c>
      <c r="D1521" s="914" t="s">
        <v>1383</v>
      </c>
      <c r="E1521" s="914">
        <v>41730</v>
      </c>
      <c r="F1521" s="915" t="s">
        <v>492</v>
      </c>
      <c r="G1521" s="936" t="s">
        <v>490</v>
      </c>
      <c r="H1521" s="919" t="s">
        <v>1376</v>
      </c>
      <c r="I1521" s="254">
        <v>2100</v>
      </c>
      <c r="J1521" s="254">
        <v>2758.2674465479013</v>
      </c>
      <c r="K1521" s="916">
        <f t="shared" si="224"/>
        <v>5792362</v>
      </c>
      <c r="L1521" s="896" t="s">
        <v>169</v>
      </c>
      <c r="M1521" s="935" t="s">
        <v>167</v>
      </c>
      <c r="N1521" s="52" t="str">
        <f>IF(AND('331-CT'!$E$7=TH!H1521,OR(L1521="331",M1521="331")),"331",IF(AND(OR(L1521="131",M1521="131"),H1521='131-CT'!$E$7),"131",""))</f>
        <v/>
      </c>
      <c r="O1521" s="89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54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225"/>
        <v>4</v>
      </c>
      <c r="C1522" s="48">
        <f t="shared" si="223"/>
        <v>41733</v>
      </c>
      <c r="D1522" s="914" t="s">
        <v>1383</v>
      </c>
      <c r="E1522" s="914">
        <v>41733</v>
      </c>
      <c r="F1522" s="915" t="s">
        <v>493</v>
      </c>
      <c r="G1522" s="936" t="s">
        <v>494</v>
      </c>
      <c r="H1522" s="919" t="s">
        <v>1376</v>
      </c>
      <c r="I1522" s="254">
        <v>325</v>
      </c>
      <c r="J1522" s="254">
        <v>7671.5418055222617</v>
      </c>
      <c r="K1522" s="916">
        <f t="shared" si="224"/>
        <v>2493251</v>
      </c>
      <c r="L1522" s="896" t="s">
        <v>169</v>
      </c>
      <c r="M1522" s="935" t="s">
        <v>167</v>
      </c>
      <c r="N1522" s="52" t="str">
        <f>IF(AND('331-CT'!$E$7=TH!H1522,OR(L1522="331",M1522="331")),"331",IF(AND(OR(L1522="131",M1522="131"),H1522='131-CT'!$E$7),"131",""))</f>
        <v/>
      </c>
      <c r="O1522" s="89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54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225"/>
        <v>4</v>
      </c>
      <c r="C1523" s="48">
        <f t="shared" si="223"/>
        <v>41733</v>
      </c>
      <c r="D1523" s="914" t="s">
        <v>1383</v>
      </c>
      <c r="E1523" s="914">
        <v>41733</v>
      </c>
      <c r="F1523" s="915" t="s">
        <v>495</v>
      </c>
      <c r="G1523" s="936" t="s">
        <v>494</v>
      </c>
      <c r="H1523" s="919" t="s">
        <v>1376</v>
      </c>
      <c r="I1523" s="254">
        <v>577</v>
      </c>
      <c r="J1523" s="254">
        <v>7336.2070768194199</v>
      </c>
      <c r="K1523" s="916">
        <f t="shared" si="224"/>
        <v>4232991</v>
      </c>
      <c r="L1523" s="896" t="s">
        <v>169</v>
      </c>
      <c r="M1523" s="935" t="s">
        <v>167</v>
      </c>
      <c r="N1523" s="52" t="str">
        <f>IF(AND('331-CT'!$E$7=TH!H1523,OR(L1523="331",M1523="331")),"331",IF(AND(OR(L1523="131",M1523="131"),H1523='131-CT'!$E$7),"131",""))</f>
        <v/>
      </c>
      <c r="O1523" s="89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54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225"/>
        <v>4</v>
      </c>
      <c r="C1524" s="48">
        <f t="shared" si="223"/>
        <v>41740</v>
      </c>
      <c r="D1524" s="914" t="s">
        <v>1383</v>
      </c>
      <c r="E1524" s="914">
        <v>41740</v>
      </c>
      <c r="F1524" s="915" t="s">
        <v>437</v>
      </c>
      <c r="G1524" s="936" t="s">
        <v>496</v>
      </c>
      <c r="H1524" s="919" t="s">
        <v>1376</v>
      </c>
      <c r="I1524" s="254">
        <v>720</v>
      </c>
      <c r="J1524" s="254">
        <v>10494.434113214567</v>
      </c>
      <c r="K1524" s="916">
        <f t="shared" si="224"/>
        <v>7555993</v>
      </c>
      <c r="L1524" s="896" t="s">
        <v>169</v>
      </c>
      <c r="M1524" s="935" t="s">
        <v>167</v>
      </c>
      <c r="N1524" s="52" t="str">
        <f>IF(AND('331-CT'!$E$7=TH!H1524,OR(L1524="331",M1524="331")),"331",IF(AND(OR(L1524="131",M1524="131"),H1524='131-CT'!$E$7),"131",""))</f>
        <v/>
      </c>
      <c r="O1524" s="89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54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225"/>
        <v>4</v>
      </c>
      <c r="C1525" s="48">
        <f t="shared" si="223"/>
        <v>41740</v>
      </c>
      <c r="D1525" s="914" t="s">
        <v>1383</v>
      </c>
      <c r="E1525" s="914">
        <v>41740</v>
      </c>
      <c r="F1525" s="915" t="s">
        <v>497</v>
      </c>
      <c r="G1525" s="936" t="s">
        <v>496</v>
      </c>
      <c r="H1525" s="919" t="s">
        <v>1376</v>
      </c>
      <c r="I1525" s="254">
        <v>340</v>
      </c>
      <c r="J1525" s="254">
        <v>8638.4694073322153</v>
      </c>
      <c r="K1525" s="916">
        <f t="shared" si="224"/>
        <v>2937080</v>
      </c>
      <c r="L1525" s="896" t="s">
        <v>169</v>
      </c>
      <c r="M1525" s="935" t="s">
        <v>167</v>
      </c>
      <c r="N1525" s="52" t="str">
        <f>IF(AND('331-CT'!$E$7=TH!H1525,OR(L1525="331",M1525="331")),"331",IF(AND(OR(L1525="131",M1525="131"),H1525='131-CT'!$E$7),"131",""))</f>
        <v/>
      </c>
      <c r="O1525" s="89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54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225"/>
        <v>4</v>
      </c>
      <c r="C1526" s="48">
        <f t="shared" si="223"/>
        <v>41744</v>
      </c>
      <c r="D1526" s="914" t="s">
        <v>1383</v>
      </c>
      <c r="E1526" s="914">
        <v>41744</v>
      </c>
      <c r="F1526" s="915" t="s">
        <v>498</v>
      </c>
      <c r="G1526" s="936" t="s">
        <v>499</v>
      </c>
      <c r="H1526" s="919" t="s">
        <v>1376</v>
      </c>
      <c r="I1526" s="254">
        <v>100</v>
      </c>
      <c r="J1526" s="254">
        <v>8822.4341132145673</v>
      </c>
      <c r="K1526" s="916">
        <f t="shared" si="224"/>
        <v>882243</v>
      </c>
      <c r="L1526" s="896" t="s">
        <v>169</v>
      </c>
      <c r="M1526" s="935" t="s">
        <v>167</v>
      </c>
      <c r="N1526" s="52" t="str">
        <f>IF(AND('331-CT'!$E$7=TH!H1526,OR(L1526="331",M1526="331")),"331",IF(AND(OR(L1526="131",M1526="131"),H1526='131-CT'!$E$7),"131",""))</f>
        <v/>
      </c>
      <c r="O1526" s="89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54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225"/>
        <v>4</v>
      </c>
      <c r="C1527" s="48">
        <f t="shared" si="223"/>
        <v>41746</v>
      </c>
      <c r="D1527" s="914" t="s">
        <v>1383</v>
      </c>
      <c r="E1527" s="914">
        <v>41746</v>
      </c>
      <c r="F1527" s="915" t="s">
        <v>460</v>
      </c>
      <c r="G1527" s="936" t="s">
        <v>500</v>
      </c>
      <c r="H1527" s="919" t="s">
        <v>1376</v>
      </c>
      <c r="I1527" s="254">
        <v>1015</v>
      </c>
      <c r="J1527" s="254">
        <v>8276.4883004066851</v>
      </c>
      <c r="K1527" s="916">
        <f t="shared" si="224"/>
        <v>8400636</v>
      </c>
      <c r="L1527" s="896" t="s">
        <v>169</v>
      </c>
      <c r="M1527" s="935" t="s">
        <v>167</v>
      </c>
      <c r="N1527" s="52" t="str">
        <f>IF(AND('331-CT'!$E$7=TH!H1527,OR(L1527="331",M1527="331")),"331",IF(AND(OR(L1527="131",M1527="131"),H1527='131-CT'!$E$7),"131",""))</f>
        <v/>
      </c>
      <c r="O1527" s="89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54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225"/>
        <v>4</v>
      </c>
      <c r="C1528" s="48">
        <f t="shared" si="223"/>
        <v>41746</v>
      </c>
      <c r="D1528" s="914" t="s">
        <v>1383</v>
      </c>
      <c r="E1528" s="914">
        <v>41746</v>
      </c>
      <c r="F1528" s="915" t="s">
        <v>501</v>
      </c>
      <c r="G1528" s="936" t="s">
        <v>502</v>
      </c>
      <c r="H1528" s="919" t="s">
        <v>1376</v>
      </c>
      <c r="I1528" s="254">
        <v>436</v>
      </c>
      <c r="J1528" s="254">
        <v>5425.5212691778706</v>
      </c>
      <c r="K1528" s="916">
        <f t="shared" si="224"/>
        <v>2365527</v>
      </c>
      <c r="L1528" s="896" t="s">
        <v>169</v>
      </c>
      <c r="M1528" s="935" t="s">
        <v>167</v>
      </c>
      <c r="N1528" s="52" t="str">
        <f>IF(AND('331-CT'!$E$7=TH!H1528,OR(L1528="331",M1528="331")),"331",IF(AND(OR(L1528="131",M1528="131"),H1528='131-CT'!$E$7),"131",""))</f>
        <v/>
      </c>
      <c r="O1528" s="89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54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225"/>
        <v>4</v>
      </c>
      <c r="C1529" s="48">
        <f t="shared" si="223"/>
        <v>41746</v>
      </c>
      <c r="D1529" s="914" t="s">
        <v>1383</v>
      </c>
      <c r="E1529" s="914">
        <v>41746</v>
      </c>
      <c r="F1529" s="915" t="s">
        <v>504</v>
      </c>
      <c r="G1529" s="936" t="s">
        <v>502</v>
      </c>
      <c r="H1529" s="919" t="s">
        <v>1376</v>
      </c>
      <c r="I1529" s="254">
        <v>302</v>
      </c>
      <c r="J1529" s="254">
        <v>4051.5798085788065</v>
      </c>
      <c r="K1529" s="916">
        <f t="shared" si="224"/>
        <v>1223577</v>
      </c>
      <c r="L1529" s="896" t="s">
        <v>169</v>
      </c>
      <c r="M1529" s="935" t="s">
        <v>167</v>
      </c>
      <c r="N1529" s="52" t="str">
        <f>IF(AND('331-CT'!$E$7=TH!H1529,OR(L1529="331",M1529="331")),"331",IF(AND(OR(L1529="131",M1529="131"),H1529='131-CT'!$E$7),"131",""))</f>
        <v/>
      </c>
      <c r="O1529" s="89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54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225"/>
        <v>4</v>
      </c>
      <c r="C1530" s="48">
        <f t="shared" si="223"/>
        <v>41746</v>
      </c>
      <c r="D1530" s="914" t="s">
        <v>1383</v>
      </c>
      <c r="E1530" s="914">
        <v>41746</v>
      </c>
      <c r="F1530" s="915" t="s">
        <v>505</v>
      </c>
      <c r="G1530" s="936" t="s">
        <v>502</v>
      </c>
      <c r="H1530" s="919" t="s">
        <v>1376</v>
      </c>
      <c r="I1530" s="254">
        <v>303</v>
      </c>
      <c r="J1530" s="254">
        <v>6169.0776775710046</v>
      </c>
      <c r="K1530" s="916">
        <f t="shared" si="224"/>
        <v>1869231</v>
      </c>
      <c r="L1530" s="896" t="s">
        <v>169</v>
      </c>
      <c r="M1530" s="935" t="s">
        <v>167</v>
      </c>
      <c r="N1530" s="52" t="str">
        <f>IF(AND('331-CT'!$E$7=TH!H1530,OR(L1530="331",M1530="331")),"331",IF(AND(OR(L1530="131",M1530="131"),H1530='131-CT'!$E$7),"131",""))</f>
        <v/>
      </c>
      <c r="O1530" s="89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54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225"/>
        <v>4</v>
      </c>
      <c r="C1531" s="48">
        <f t="shared" si="223"/>
        <v>41746</v>
      </c>
      <c r="D1531" s="914" t="s">
        <v>1383</v>
      </c>
      <c r="E1531" s="914">
        <v>41746</v>
      </c>
      <c r="F1531" s="915" t="s">
        <v>406</v>
      </c>
      <c r="G1531" s="936" t="s">
        <v>502</v>
      </c>
      <c r="H1531" s="919" t="s">
        <v>1376</v>
      </c>
      <c r="I1531" s="254">
        <v>200</v>
      </c>
      <c r="J1531" s="254">
        <v>6415.4341132145673</v>
      </c>
      <c r="K1531" s="916">
        <f t="shared" si="224"/>
        <v>1283087</v>
      </c>
      <c r="L1531" s="896" t="s">
        <v>169</v>
      </c>
      <c r="M1531" s="935" t="s">
        <v>167</v>
      </c>
      <c r="N1531" s="52" t="str">
        <f>IF(AND('331-CT'!$E$7=TH!H1531,OR(L1531="331",M1531="331")),"331",IF(AND(OR(L1531="131",M1531="131"),H1531='131-CT'!$E$7),"131",""))</f>
        <v/>
      </c>
      <c r="O1531" s="89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54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225"/>
        <v>4</v>
      </c>
      <c r="C1532" s="48">
        <f t="shared" si="223"/>
        <v>41748</v>
      </c>
      <c r="D1532" s="914" t="s">
        <v>1383</v>
      </c>
      <c r="E1532" s="914">
        <v>41748</v>
      </c>
      <c r="F1532" s="915" t="s">
        <v>418</v>
      </c>
      <c r="G1532" s="936" t="s">
        <v>506</v>
      </c>
      <c r="H1532" s="919" t="s">
        <v>1376</v>
      </c>
      <c r="I1532" s="254">
        <v>1856</v>
      </c>
      <c r="J1532" s="254">
        <v>4725.9448890766371</v>
      </c>
      <c r="K1532" s="916">
        <f t="shared" si="224"/>
        <v>8771354</v>
      </c>
      <c r="L1532" s="896" t="s">
        <v>169</v>
      </c>
      <c r="M1532" s="935" t="s">
        <v>167</v>
      </c>
      <c r="N1532" s="52" t="str">
        <f>IF(AND('331-CT'!$E$7=TH!H1532,OR(L1532="331",M1532="331")),"331",IF(AND(OR(L1532="131",M1532="131"),H1532='131-CT'!$E$7),"131",""))</f>
        <v/>
      </c>
      <c r="O1532" s="89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54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225"/>
        <v>4</v>
      </c>
      <c r="C1533" s="48">
        <f t="shared" si="223"/>
        <v>41750</v>
      </c>
      <c r="D1533" s="914" t="s">
        <v>1383</v>
      </c>
      <c r="E1533" s="914">
        <v>41750</v>
      </c>
      <c r="F1533" s="915" t="s">
        <v>422</v>
      </c>
      <c r="G1533" s="936" t="s">
        <v>507</v>
      </c>
      <c r="H1533" s="919" t="s">
        <v>1376</v>
      </c>
      <c r="I1533" s="254">
        <v>500</v>
      </c>
      <c r="J1533" s="254">
        <v>16293.434113214569</v>
      </c>
      <c r="K1533" s="916">
        <f t="shared" si="224"/>
        <v>8146717</v>
      </c>
      <c r="L1533" s="896" t="s">
        <v>169</v>
      </c>
      <c r="M1533" s="935" t="s">
        <v>167</v>
      </c>
      <c r="N1533" s="52" t="str">
        <f>IF(AND('331-CT'!$E$7=TH!H1533,OR(L1533="331",M1533="331")),"331",IF(AND(OR(L1533="131",M1533="131"),H1533='131-CT'!$E$7),"131",""))</f>
        <v/>
      </c>
      <c r="O1533" s="89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54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225"/>
        <v>4</v>
      </c>
      <c r="C1534" s="48">
        <f t="shared" si="223"/>
        <v>41750</v>
      </c>
      <c r="D1534" s="914" t="s">
        <v>1383</v>
      </c>
      <c r="E1534" s="914">
        <v>41750</v>
      </c>
      <c r="F1534" s="915" t="s">
        <v>446</v>
      </c>
      <c r="G1534" s="936" t="s">
        <v>507</v>
      </c>
      <c r="H1534" s="919" t="s">
        <v>1376</v>
      </c>
      <c r="I1534" s="254">
        <v>1000</v>
      </c>
      <c r="J1534" s="254">
        <v>1608.2641132145682</v>
      </c>
      <c r="K1534" s="916">
        <f t="shared" si="224"/>
        <v>1608264</v>
      </c>
      <c r="L1534" s="896" t="s">
        <v>169</v>
      </c>
      <c r="M1534" s="935" t="s">
        <v>167</v>
      </c>
      <c r="N1534" s="52" t="str">
        <f>IF(AND('331-CT'!$E$7=TH!H1534,OR(L1534="331",M1534="331")),"331",IF(AND(OR(L1534="131",M1534="131"),H1534='131-CT'!$E$7),"131",""))</f>
        <v/>
      </c>
      <c r="O1534" s="89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54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225"/>
        <v>4</v>
      </c>
      <c r="C1535" s="48">
        <f t="shared" si="223"/>
        <v>41752</v>
      </c>
      <c r="D1535" s="914" t="s">
        <v>1383</v>
      </c>
      <c r="E1535" s="914">
        <v>41752</v>
      </c>
      <c r="F1535" s="915" t="s">
        <v>424</v>
      </c>
      <c r="G1535" s="936" t="s">
        <v>508</v>
      </c>
      <c r="H1535" s="919" t="s">
        <v>1376</v>
      </c>
      <c r="I1535" s="254">
        <v>500</v>
      </c>
      <c r="J1535" s="254">
        <v>7133.3761132145682</v>
      </c>
      <c r="K1535" s="916">
        <f t="shared" si="224"/>
        <v>3566688</v>
      </c>
      <c r="L1535" s="896" t="s">
        <v>169</v>
      </c>
      <c r="M1535" s="935" t="s">
        <v>167</v>
      </c>
      <c r="N1535" s="52" t="str">
        <f>IF(AND('331-CT'!$E$7=TH!H1535,OR(L1535="331",M1535="331")),"331",IF(AND(OR(L1535="131",M1535="131"),H1535='131-CT'!$E$7),"131",""))</f>
        <v/>
      </c>
      <c r="O1535" s="89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54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225"/>
        <v>4</v>
      </c>
      <c r="C1536" s="48">
        <f t="shared" si="223"/>
        <v>41752</v>
      </c>
      <c r="D1536" s="914" t="s">
        <v>1383</v>
      </c>
      <c r="E1536" s="914">
        <v>41752</v>
      </c>
      <c r="F1536" s="915" t="s">
        <v>424</v>
      </c>
      <c r="G1536" s="936" t="s">
        <v>508</v>
      </c>
      <c r="H1536" s="919" t="s">
        <v>1376</v>
      </c>
      <c r="I1536" s="254">
        <v>504</v>
      </c>
      <c r="J1536" s="254">
        <v>9158.8309386113942</v>
      </c>
      <c r="K1536" s="916">
        <f t="shared" si="224"/>
        <v>4616051</v>
      </c>
      <c r="L1536" s="896" t="s">
        <v>169</v>
      </c>
      <c r="M1536" s="935" t="s">
        <v>167</v>
      </c>
      <c r="N1536" s="52" t="str">
        <f>IF(AND('331-CT'!$E$7=TH!H1536,OR(L1536="331",M1536="331")),"331",IF(AND(OR(L1536="131",M1536="131"),H1536='131-CT'!$E$7),"131",""))</f>
        <v/>
      </c>
      <c r="O1536" s="89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54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225"/>
        <v>4</v>
      </c>
      <c r="C1537" s="48">
        <f t="shared" si="223"/>
        <v>41755</v>
      </c>
      <c r="D1537" s="914" t="s">
        <v>1383</v>
      </c>
      <c r="E1537" s="914">
        <v>41755</v>
      </c>
      <c r="F1537" s="915" t="s">
        <v>509</v>
      </c>
      <c r="G1537" s="936" t="s">
        <v>510</v>
      </c>
      <c r="H1537" s="919" t="s">
        <v>1376</v>
      </c>
      <c r="I1537" s="254">
        <v>305</v>
      </c>
      <c r="J1537" s="254">
        <v>9357.2046050178469</v>
      </c>
      <c r="K1537" s="916">
        <f t="shared" si="224"/>
        <v>2853947</v>
      </c>
      <c r="L1537" s="896" t="s">
        <v>169</v>
      </c>
      <c r="M1537" s="935" t="s">
        <v>167</v>
      </c>
      <c r="N1537" s="52" t="str">
        <f>IF(AND('331-CT'!$E$7=TH!H1537,OR(L1537="331",M1537="331")),"331",IF(AND(OR(L1537="131",M1537="131"),H1537='131-CT'!$E$7),"131",""))</f>
        <v/>
      </c>
      <c r="O1537" s="89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54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225"/>
        <v>4</v>
      </c>
      <c r="C1538" s="48">
        <f t="shared" si="223"/>
        <v>41755</v>
      </c>
      <c r="D1538" s="914" t="s">
        <v>1383</v>
      </c>
      <c r="E1538" s="914">
        <v>41755</v>
      </c>
      <c r="F1538" s="915" t="s">
        <v>495</v>
      </c>
      <c r="G1538" s="936" t="s">
        <v>510</v>
      </c>
      <c r="H1538" s="919" t="s">
        <v>1376</v>
      </c>
      <c r="I1538" s="254">
        <v>530</v>
      </c>
      <c r="J1538" s="254">
        <v>7378.3963773655105</v>
      </c>
      <c r="K1538" s="916">
        <f t="shared" si="224"/>
        <v>3910550</v>
      </c>
      <c r="L1538" s="896" t="s">
        <v>169</v>
      </c>
      <c r="M1538" s="935" t="s">
        <v>167</v>
      </c>
      <c r="N1538" s="52" t="str">
        <f>IF(AND('331-CT'!$E$7=TH!H1538,OR(L1538="331",M1538="331")),"331",IF(AND(OR(L1538="131",M1538="131"),H1538='131-CT'!$E$7),"131",""))</f>
        <v/>
      </c>
      <c r="O1538" s="89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54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225"/>
        <v>5</v>
      </c>
      <c r="C1539" s="48">
        <f t="shared" ref="C1539:C1602" si="226">E1539</f>
        <v>41762</v>
      </c>
      <c r="D1539" s="914" t="s">
        <v>1383</v>
      </c>
      <c r="E1539" s="914">
        <v>41762</v>
      </c>
      <c r="F1539" s="915" t="s">
        <v>422</v>
      </c>
      <c r="G1539" s="936" t="s">
        <v>511</v>
      </c>
      <c r="H1539" s="919" t="s">
        <v>1376</v>
      </c>
      <c r="I1539" s="254">
        <v>500</v>
      </c>
      <c r="J1539" s="254">
        <v>16117.434113214569</v>
      </c>
      <c r="K1539" s="916">
        <f t="shared" ref="K1539:K1602" si="227">ROUND(I1539*J1539,0)</f>
        <v>8058717</v>
      </c>
      <c r="L1539" s="896" t="s">
        <v>169</v>
      </c>
      <c r="M1539" s="935" t="s">
        <v>167</v>
      </c>
      <c r="N1539" s="52" t="str">
        <f>IF(AND('331-CT'!$E$7=TH!H1539,OR(L1539="331",M1539="331")),"331",IF(AND(OR(L1539="131",M1539="131"),H1539='131-CT'!$E$7),"131",""))</f>
        <v/>
      </c>
      <c r="O1539" s="89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54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225"/>
        <v>5</v>
      </c>
      <c r="C1540" s="48">
        <f t="shared" si="226"/>
        <v>41762</v>
      </c>
      <c r="D1540" s="914" t="s">
        <v>1383</v>
      </c>
      <c r="E1540" s="914">
        <v>41762</v>
      </c>
      <c r="F1540" s="915" t="s">
        <v>446</v>
      </c>
      <c r="G1540" s="936" t="s">
        <v>511</v>
      </c>
      <c r="H1540" s="919" t="s">
        <v>1376</v>
      </c>
      <c r="I1540" s="254">
        <v>1000</v>
      </c>
      <c r="J1540" s="254">
        <v>2982.0591132145682</v>
      </c>
      <c r="K1540" s="916">
        <f t="shared" si="227"/>
        <v>2982059</v>
      </c>
      <c r="L1540" s="896" t="s">
        <v>169</v>
      </c>
      <c r="M1540" s="935" t="s">
        <v>167</v>
      </c>
      <c r="N1540" s="52" t="str">
        <f>IF(AND('331-CT'!$E$7=TH!H1540,OR(L1540="331",M1540="331")),"331",IF(AND(OR(L1540="131",M1540="131"),H1540='131-CT'!$E$7),"131",""))</f>
        <v/>
      </c>
      <c r="O1540" s="89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54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225"/>
        <v>5</v>
      </c>
      <c r="C1541" s="48">
        <f t="shared" si="226"/>
        <v>41765</v>
      </c>
      <c r="D1541" s="914" t="s">
        <v>1383</v>
      </c>
      <c r="E1541" s="914">
        <v>41765</v>
      </c>
      <c r="F1541" s="915" t="s">
        <v>495</v>
      </c>
      <c r="G1541" s="936" t="s">
        <v>512</v>
      </c>
      <c r="H1541" s="919" t="s">
        <v>1376</v>
      </c>
      <c r="I1541" s="254">
        <v>500</v>
      </c>
      <c r="J1541" s="254">
        <v>7394.7341132145684</v>
      </c>
      <c r="K1541" s="916">
        <f t="shared" si="227"/>
        <v>3697367</v>
      </c>
      <c r="L1541" s="896" t="s">
        <v>169</v>
      </c>
      <c r="M1541" s="935" t="s">
        <v>167</v>
      </c>
      <c r="N1541" s="52" t="str">
        <f>IF(AND('331-CT'!$E$7=TH!H1541,OR(L1541="331",M1541="331")),"331",IF(AND(OR(L1541="131",M1541="131"),H1541='131-CT'!$E$7),"131",""))</f>
        <v/>
      </c>
      <c r="O1541" s="89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54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225"/>
        <v>5</v>
      </c>
      <c r="C1542" s="48">
        <f t="shared" si="226"/>
        <v>41765</v>
      </c>
      <c r="D1542" s="914" t="s">
        <v>1383</v>
      </c>
      <c r="E1542" s="914">
        <v>41765</v>
      </c>
      <c r="F1542" s="915" t="s">
        <v>513</v>
      </c>
      <c r="G1542" s="936" t="s">
        <v>512</v>
      </c>
      <c r="H1542" s="919" t="s">
        <v>1376</v>
      </c>
      <c r="I1542" s="254">
        <v>200</v>
      </c>
      <c r="J1542" s="254">
        <v>6683.9341132145673</v>
      </c>
      <c r="K1542" s="916">
        <f t="shared" si="227"/>
        <v>1336787</v>
      </c>
      <c r="L1542" s="896" t="s">
        <v>169</v>
      </c>
      <c r="M1542" s="935" t="s">
        <v>167</v>
      </c>
      <c r="N1542" s="52" t="str">
        <f>IF(AND('331-CT'!$E$7=TH!H1542,OR(L1542="331",M1542="331")),"331",IF(AND(OR(L1542="131",M1542="131"),H1542='131-CT'!$E$7),"131",""))</f>
        <v/>
      </c>
      <c r="O1542" s="89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54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225"/>
        <v>5</v>
      </c>
      <c r="C1543" s="48">
        <f t="shared" si="226"/>
        <v>41772</v>
      </c>
      <c r="D1543" s="914" t="s">
        <v>1383</v>
      </c>
      <c r="E1543" s="914">
        <v>41772</v>
      </c>
      <c r="F1543" s="915" t="s">
        <v>447</v>
      </c>
      <c r="G1543" s="936" t="s">
        <v>514</v>
      </c>
      <c r="H1543" s="919" t="s">
        <v>1376</v>
      </c>
      <c r="I1543" s="254">
        <v>200</v>
      </c>
      <c r="J1543" s="254">
        <v>19536.434113214567</v>
      </c>
      <c r="K1543" s="916">
        <f t="shared" si="227"/>
        <v>3907287</v>
      </c>
      <c r="L1543" s="896" t="s">
        <v>169</v>
      </c>
      <c r="M1543" s="935" t="s">
        <v>167</v>
      </c>
      <c r="N1543" s="52" t="str">
        <f>IF(AND('331-CT'!$E$7=TH!H1543,OR(L1543="331",M1543="331")),"331",IF(AND(OR(L1543="131",M1543="131"),H1543='131-CT'!$E$7),"131",""))</f>
        <v/>
      </c>
      <c r="O1543" s="89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54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225"/>
        <v>5</v>
      </c>
      <c r="C1544" s="48">
        <f t="shared" si="226"/>
        <v>41774</v>
      </c>
      <c r="D1544" s="914" t="s">
        <v>1383</v>
      </c>
      <c r="E1544" s="914">
        <v>41774</v>
      </c>
      <c r="F1544" s="915" t="s">
        <v>437</v>
      </c>
      <c r="G1544" s="936" t="s">
        <v>515</v>
      </c>
      <c r="H1544" s="919" t="s">
        <v>1376</v>
      </c>
      <c r="I1544" s="254">
        <v>300</v>
      </c>
      <c r="J1544" s="254">
        <v>9829.717446547902</v>
      </c>
      <c r="K1544" s="916">
        <f t="shared" si="227"/>
        <v>2948915</v>
      </c>
      <c r="L1544" s="896" t="s">
        <v>169</v>
      </c>
      <c r="M1544" s="935" t="s">
        <v>167</v>
      </c>
      <c r="N1544" s="52" t="str">
        <f>IF(AND('331-CT'!$E$7=TH!H1544,OR(L1544="331",M1544="331")),"331",IF(AND(OR(L1544="131",M1544="131"),H1544='131-CT'!$E$7),"131",""))</f>
        <v/>
      </c>
      <c r="O1544" s="89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54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225"/>
        <v>5</v>
      </c>
      <c r="C1545" s="48">
        <f t="shared" si="226"/>
        <v>41774</v>
      </c>
      <c r="D1545" s="914" t="s">
        <v>1383</v>
      </c>
      <c r="E1545" s="914">
        <v>41774</v>
      </c>
      <c r="F1545" s="915" t="s">
        <v>516</v>
      </c>
      <c r="G1545" s="936" t="s">
        <v>517</v>
      </c>
      <c r="H1545" s="919" t="s">
        <v>1376</v>
      </c>
      <c r="I1545" s="254">
        <v>987</v>
      </c>
      <c r="J1545" s="254">
        <v>10962.613444521559</v>
      </c>
      <c r="K1545" s="916">
        <f t="shared" si="227"/>
        <v>10820099</v>
      </c>
      <c r="L1545" s="896" t="s">
        <v>169</v>
      </c>
      <c r="M1545" s="935" t="s">
        <v>167</v>
      </c>
      <c r="N1545" s="52" t="str">
        <f>IF(AND('331-CT'!$E$7=TH!H1545,OR(L1545="331",M1545="331")),"331",IF(AND(OR(L1545="131",M1545="131"),H1545='131-CT'!$E$7),"131",""))</f>
        <v/>
      </c>
      <c r="O1545" s="89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54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225"/>
        <v>5</v>
      </c>
      <c r="C1546" s="48">
        <f t="shared" si="226"/>
        <v>41774</v>
      </c>
      <c r="D1546" s="914" t="s">
        <v>1383</v>
      </c>
      <c r="E1546" s="914">
        <v>41774</v>
      </c>
      <c r="F1546" s="915" t="s">
        <v>518</v>
      </c>
      <c r="G1546" s="936" t="s">
        <v>519</v>
      </c>
      <c r="H1546" s="919" t="s">
        <v>1376</v>
      </c>
      <c r="I1546" s="254">
        <v>995</v>
      </c>
      <c r="J1546" s="254">
        <v>10885.192907184417</v>
      </c>
      <c r="K1546" s="916">
        <f t="shared" si="227"/>
        <v>10830767</v>
      </c>
      <c r="L1546" s="896" t="s">
        <v>169</v>
      </c>
      <c r="M1546" s="935" t="s">
        <v>167</v>
      </c>
      <c r="N1546" s="52" t="str">
        <f>IF(AND('331-CT'!$E$7=TH!H1546,OR(L1546="331",M1546="331")),"331",IF(AND(OR(L1546="131",M1546="131"),H1546='131-CT'!$E$7),"131",""))</f>
        <v/>
      </c>
      <c r="O1546" s="89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54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225"/>
        <v>5</v>
      </c>
      <c r="C1547" s="48">
        <f t="shared" si="226"/>
        <v>41774</v>
      </c>
      <c r="D1547" s="914" t="s">
        <v>1383</v>
      </c>
      <c r="E1547" s="914">
        <v>41774</v>
      </c>
      <c r="F1547" s="915" t="s">
        <v>520</v>
      </c>
      <c r="G1547" s="936" t="s">
        <v>519</v>
      </c>
      <c r="H1547" s="919" t="s">
        <v>1376</v>
      </c>
      <c r="I1547" s="254">
        <v>497</v>
      </c>
      <c r="J1547" s="254">
        <v>9661.452221866477</v>
      </c>
      <c r="K1547" s="916">
        <f t="shared" si="227"/>
        <v>4801742</v>
      </c>
      <c r="L1547" s="896" t="s">
        <v>169</v>
      </c>
      <c r="M1547" s="935" t="s">
        <v>167</v>
      </c>
      <c r="N1547" s="52" t="str">
        <f>IF(AND('331-CT'!$E$7=TH!H1547,OR(L1547="331",M1547="331")),"331",IF(AND(OR(L1547="131",M1547="131"),H1547='131-CT'!$E$7),"131",""))</f>
        <v/>
      </c>
      <c r="O1547" s="89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54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225"/>
        <v>5</v>
      </c>
      <c r="C1548" s="48">
        <f t="shared" si="226"/>
        <v>41778</v>
      </c>
      <c r="D1548" s="914" t="s">
        <v>1383</v>
      </c>
      <c r="E1548" s="914">
        <v>41778</v>
      </c>
      <c r="F1548" s="915" t="s">
        <v>484</v>
      </c>
      <c r="G1548" s="936" t="s">
        <v>521</v>
      </c>
      <c r="H1548" s="919" t="s">
        <v>1376</v>
      </c>
      <c r="I1548" s="254">
        <v>205</v>
      </c>
      <c r="J1548" s="254">
        <v>12034.434113214566</v>
      </c>
      <c r="K1548" s="916">
        <f t="shared" si="227"/>
        <v>2467059</v>
      </c>
      <c r="L1548" s="896" t="s">
        <v>169</v>
      </c>
      <c r="M1548" s="935" t="s">
        <v>167</v>
      </c>
      <c r="N1548" s="52" t="str">
        <f>IF(AND('331-CT'!$E$7=TH!H1548,OR(L1548="331",M1548="331")),"331",IF(AND(OR(L1548="131",M1548="131"),H1548='131-CT'!$E$7),"131",""))</f>
        <v/>
      </c>
      <c r="O1548" s="89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54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225"/>
        <v>5</v>
      </c>
      <c r="C1549" s="48">
        <f t="shared" si="226"/>
        <v>41778</v>
      </c>
      <c r="D1549" s="914" t="s">
        <v>1383</v>
      </c>
      <c r="E1549" s="914">
        <v>41778</v>
      </c>
      <c r="F1549" s="915" t="s">
        <v>488</v>
      </c>
      <c r="G1549" s="936" t="s">
        <v>521</v>
      </c>
      <c r="H1549" s="919" t="s">
        <v>1376</v>
      </c>
      <c r="I1549" s="254">
        <v>297</v>
      </c>
      <c r="J1549" s="254">
        <v>5303.8044835849387</v>
      </c>
      <c r="K1549" s="916">
        <f t="shared" si="227"/>
        <v>1575230</v>
      </c>
      <c r="L1549" s="896" t="s">
        <v>169</v>
      </c>
      <c r="M1549" s="935" t="s">
        <v>167</v>
      </c>
      <c r="N1549" s="52" t="str">
        <f>IF(AND('331-CT'!$E$7=TH!H1549,OR(L1549="331",M1549="331")),"331",IF(AND(OR(L1549="131",M1549="131"),H1549='131-CT'!$E$7),"131",""))</f>
        <v/>
      </c>
      <c r="O1549" s="89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54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225"/>
        <v>5</v>
      </c>
      <c r="C1550" s="48">
        <f t="shared" si="226"/>
        <v>41778</v>
      </c>
      <c r="D1550" s="914" t="s">
        <v>1383</v>
      </c>
      <c r="E1550" s="914">
        <v>41778</v>
      </c>
      <c r="F1550" s="915" t="s">
        <v>487</v>
      </c>
      <c r="G1550" s="936" t="s">
        <v>521</v>
      </c>
      <c r="H1550" s="919" t="s">
        <v>1376</v>
      </c>
      <c r="I1550" s="254">
        <v>374</v>
      </c>
      <c r="J1550" s="254">
        <v>9083.9688725728556</v>
      </c>
      <c r="K1550" s="916">
        <f t="shared" si="227"/>
        <v>3397404</v>
      </c>
      <c r="L1550" s="896" t="s">
        <v>169</v>
      </c>
      <c r="M1550" s="935" t="s">
        <v>167</v>
      </c>
      <c r="N1550" s="52" t="str">
        <f>IF(AND('331-CT'!$E$7=TH!H1550,OR(L1550="331",M1550="331")),"331",IF(AND(OR(L1550="131",M1550="131"),H1550='131-CT'!$E$7),"131",""))</f>
        <v/>
      </c>
      <c r="O1550" s="89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54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225"/>
        <v>5</v>
      </c>
      <c r="C1551" s="48">
        <f t="shared" si="226"/>
        <v>41778</v>
      </c>
      <c r="D1551" s="914" t="s">
        <v>1383</v>
      </c>
      <c r="E1551" s="914">
        <v>41778</v>
      </c>
      <c r="F1551" s="915" t="s">
        <v>495</v>
      </c>
      <c r="G1551" s="936" t="s">
        <v>521</v>
      </c>
      <c r="H1551" s="919" t="s">
        <v>1376</v>
      </c>
      <c r="I1551" s="254">
        <v>399</v>
      </c>
      <c r="J1551" s="254">
        <v>8595.7499026882524</v>
      </c>
      <c r="K1551" s="916">
        <f t="shared" si="227"/>
        <v>3429704</v>
      </c>
      <c r="L1551" s="896" t="s">
        <v>169</v>
      </c>
      <c r="M1551" s="935" t="s">
        <v>167</v>
      </c>
      <c r="N1551" s="52" t="str">
        <f>IF(AND('331-CT'!$E$7=TH!H1551,OR(L1551="331",M1551="331")),"331",IF(AND(OR(L1551="131",M1551="131"),H1551='131-CT'!$E$7),"131",""))</f>
        <v/>
      </c>
      <c r="O1551" s="89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54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225"/>
        <v>5</v>
      </c>
      <c r="C1552" s="48">
        <f t="shared" si="226"/>
        <v>41779</v>
      </c>
      <c r="D1552" s="914" t="s">
        <v>1383</v>
      </c>
      <c r="E1552" s="914">
        <v>41779</v>
      </c>
      <c r="F1552" s="915" t="s">
        <v>522</v>
      </c>
      <c r="G1552" s="936" t="s">
        <v>523</v>
      </c>
      <c r="H1552" s="919" t="s">
        <v>1376</v>
      </c>
      <c r="I1552" s="254">
        <v>150</v>
      </c>
      <c r="J1552" s="254">
        <v>5271.4341132145682</v>
      </c>
      <c r="K1552" s="916">
        <f t="shared" si="227"/>
        <v>790715</v>
      </c>
      <c r="L1552" s="896" t="s">
        <v>169</v>
      </c>
      <c r="M1552" s="935" t="s">
        <v>167</v>
      </c>
      <c r="N1552" s="52" t="str">
        <f>IF(AND('331-CT'!$E$7=TH!H1552,OR(L1552="331",M1552="331")),"331",IF(AND(OR(L1552="131",M1552="131"),H1552='131-CT'!$E$7),"131",""))</f>
        <v/>
      </c>
      <c r="O1552" s="89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54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225"/>
        <v>5</v>
      </c>
      <c r="C1553" s="48">
        <f t="shared" si="226"/>
        <v>41779</v>
      </c>
      <c r="D1553" s="914" t="s">
        <v>1383</v>
      </c>
      <c r="E1553" s="914">
        <v>41779</v>
      </c>
      <c r="F1553" s="915" t="s">
        <v>524</v>
      </c>
      <c r="G1553" s="936" t="s">
        <v>523</v>
      </c>
      <c r="H1553" s="919" t="s">
        <v>1376</v>
      </c>
      <c r="I1553" s="254">
        <v>1250</v>
      </c>
      <c r="J1553" s="254">
        <v>4743.8341132145679</v>
      </c>
      <c r="K1553" s="916">
        <f t="shared" si="227"/>
        <v>5929793</v>
      </c>
      <c r="L1553" s="896" t="s">
        <v>169</v>
      </c>
      <c r="M1553" s="935" t="s">
        <v>167</v>
      </c>
      <c r="N1553" s="52" t="str">
        <f>IF(AND('331-CT'!$E$7=TH!H1553,OR(L1553="331",M1553="331")),"331",IF(AND(OR(L1553="131",M1553="131"),H1553='131-CT'!$E$7),"131",""))</f>
        <v/>
      </c>
      <c r="O1553" s="89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54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225"/>
        <v>5</v>
      </c>
      <c r="C1554" s="48">
        <f t="shared" si="226"/>
        <v>41780</v>
      </c>
      <c r="D1554" s="914" t="s">
        <v>1383</v>
      </c>
      <c r="E1554" s="914">
        <v>41780</v>
      </c>
      <c r="F1554" s="915" t="s">
        <v>525</v>
      </c>
      <c r="G1554" s="936" t="s">
        <v>526</v>
      </c>
      <c r="H1554" s="919" t="s">
        <v>1376</v>
      </c>
      <c r="I1554" s="254">
        <v>1200</v>
      </c>
      <c r="J1554" s="254">
        <v>1577.7274465479013</v>
      </c>
      <c r="K1554" s="916">
        <f t="shared" si="227"/>
        <v>1893273</v>
      </c>
      <c r="L1554" s="896" t="s">
        <v>169</v>
      </c>
      <c r="M1554" s="935" t="s">
        <v>167</v>
      </c>
      <c r="N1554" s="52" t="str">
        <f>IF(AND('331-CT'!$E$7=TH!H1554,OR(L1554="331",M1554="331")),"331",IF(AND(OR(L1554="131",M1554="131"),H1554='131-CT'!$E$7),"131",""))</f>
        <v/>
      </c>
      <c r="O1554" s="89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54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225"/>
        <v>5</v>
      </c>
      <c r="C1555" s="48">
        <f t="shared" si="226"/>
        <v>41780</v>
      </c>
      <c r="D1555" s="914" t="s">
        <v>1383</v>
      </c>
      <c r="E1555" s="914">
        <v>41780</v>
      </c>
      <c r="F1555" s="915" t="s">
        <v>467</v>
      </c>
      <c r="G1555" s="936" t="s">
        <v>527</v>
      </c>
      <c r="H1555" s="919" t="s">
        <v>1376</v>
      </c>
      <c r="I1555" s="254">
        <v>1305</v>
      </c>
      <c r="J1555" s="254">
        <v>4986.9973316053729</v>
      </c>
      <c r="K1555" s="916">
        <f t="shared" si="227"/>
        <v>6508032</v>
      </c>
      <c r="L1555" s="896" t="s">
        <v>169</v>
      </c>
      <c r="M1555" s="935" t="s">
        <v>167</v>
      </c>
      <c r="N1555" s="52" t="str">
        <f>IF(AND('331-CT'!$E$7=TH!H1555,OR(L1555="331",M1555="331")),"331",IF(AND(OR(L1555="131",M1555="131"),H1555='131-CT'!$E$7),"131",""))</f>
        <v/>
      </c>
      <c r="O1555" s="89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54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225"/>
        <v>5</v>
      </c>
      <c r="C1556" s="48">
        <f t="shared" si="226"/>
        <v>41781</v>
      </c>
      <c r="D1556" s="914" t="s">
        <v>1383</v>
      </c>
      <c r="E1556" s="914">
        <v>41781</v>
      </c>
      <c r="F1556" s="915" t="s">
        <v>528</v>
      </c>
      <c r="G1556" s="936" t="s">
        <v>529</v>
      </c>
      <c r="H1556" s="919" t="s">
        <v>1376</v>
      </c>
      <c r="I1556" s="254">
        <v>497</v>
      </c>
      <c r="J1556" s="254">
        <v>16401.844575991225</v>
      </c>
      <c r="K1556" s="916">
        <f t="shared" si="227"/>
        <v>8151717</v>
      </c>
      <c r="L1556" s="896" t="s">
        <v>169</v>
      </c>
      <c r="M1556" s="935" t="s">
        <v>167</v>
      </c>
      <c r="N1556" s="52" t="str">
        <f>IF(AND('331-CT'!$E$7=TH!H1556,OR(L1556="331",M1556="331")),"331",IF(AND(OR(L1556="131",M1556="131"),H1556='131-CT'!$E$7),"131",""))</f>
        <v/>
      </c>
      <c r="O1556" s="89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54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225"/>
        <v>5</v>
      </c>
      <c r="C1557" s="48">
        <f t="shared" si="226"/>
        <v>41786</v>
      </c>
      <c r="D1557" s="914" t="s">
        <v>1383</v>
      </c>
      <c r="E1557" s="914">
        <v>41786</v>
      </c>
      <c r="F1557" s="915" t="s">
        <v>464</v>
      </c>
      <c r="G1557" s="936" t="s">
        <v>530</v>
      </c>
      <c r="H1557" s="919" t="s">
        <v>1376</v>
      </c>
      <c r="I1557" s="254">
        <v>998</v>
      </c>
      <c r="J1557" s="254">
        <v>11584.937119226593</v>
      </c>
      <c r="K1557" s="916">
        <f t="shared" si="227"/>
        <v>11561767</v>
      </c>
      <c r="L1557" s="896" t="s">
        <v>169</v>
      </c>
      <c r="M1557" s="935" t="s">
        <v>167</v>
      </c>
      <c r="N1557" s="52" t="str">
        <f>IF(AND('331-CT'!$E$7=TH!H1557,OR(L1557="331",M1557="331")),"331",IF(AND(OR(L1557="131",M1557="131"),H1557='131-CT'!$E$7),"131",""))</f>
        <v/>
      </c>
      <c r="O1557" s="89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54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225"/>
        <v>5</v>
      </c>
      <c r="C1558" s="48">
        <f t="shared" si="226"/>
        <v>41788</v>
      </c>
      <c r="D1558" s="914" t="s">
        <v>1383</v>
      </c>
      <c r="E1558" s="914">
        <v>41788</v>
      </c>
      <c r="F1558" s="915" t="s">
        <v>437</v>
      </c>
      <c r="G1558" s="936" t="s">
        <v>531</v>
      </c>
      <c r="H1558" s="919" t="s">
        <v>1376</v>
      </c>
      <c r="I1558" s="254">
        <v>496</v>
      </c>
      <c r="J1558" s="254">
        <v>9623.2526616016639</v>
      </c>
      <c r="K1558" s="916">
        <f t="shared" si="227"/>
        <v>4773133</v>
      </c>
      <c r="L1558" s="896" t="s">
        <v>169</v>
      </c>
      <c r="M1558" s="935" t="s">
        <v>167</v>
      </c>
      <c r="N1558" s="52" t="str">
        <f>IF(AND('331-CT'!$E$7=TH!H1558,OR(L1558="331",M1558="331")),"331",IF(AND(OR(L1558="131",M1558="131"),H1558='131-CT'!$E$7),"131",""))</f>
        <v/>
      </c>
      <c r="O1558" s="89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54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225"/>
        <v>5</v>
      </c>
      <c r="C1559" s="48">
        <f t="shared" si="226"/>
        <v>41788</v>
      </c>
      <c r="D1559" s="914" t="s">
        <v>1383</v>
      </c>
      <c r="E1559" s="914">
        <v>41788</v>
      </c>
      <c r="F1559" s="915" t="s">
        <v>509</v>
      </c>
      <c r="G1559" s="936" t="s">
        <v>532</v>
      </c>
      <c r="H1559" s="919" t="s">
        <v>1376</v>
      </c>
      <c r="I1559" s="254">
        <v>304</v>
      </c>
      <c r="J1559" s="254">
        <v>9048.8946395303574</v>
      </c>
      <c r="K1559" s="916">
        <f t="shared" si="227"/>
        <v>2750864</v>
      </c>
      <c r="L1559" s="896" t="s">
        <v>169</v>
      </c>
      <c r="M1559" s="935" t="s">
        <v>167</v>
      </c>
      <c r="N1559" s="52" t="str">
        <f>IF(AND('331-CT'!$E$7=TH!H1559,OR(L1559="331",M1559="331")),"331",IF(AND(OR(L1559="131",M1559="131"),H1559='131-CT'!$E$7),"131",""))</f>
        <v/>
      </c>
      <c r="O1559" s="89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54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225"/>
        <v>5</v>
      </c>
      <c r="C1560" s="48">
        <f t="shared" si="226"/>
        <v>41788</v>
      </c>
      <c r="D1560" s="914" t="s">
        <v>1383</v>
      </c>
      <c r="E1560" s="914">
        <v>41788</v>
      </c>
      <c r="F1560" s="915" t="s">
        <v>533</v>
      </c>
      <c r="G1560" s="936" t="s">
        <v>532</v>
      </c>
      <c r="H1560" s="919" t="s">
        <v>1376</v>
      </c>
      <c r="I1560" s="254">
        <v>154</v>
      </c>
      <c r="J1560" s="254">
        <v>11562.005541785997</v>
      </c>
      <c r="K1560" s="916">
        <f t="shared" si="227"/>
        <v>1780549</v>
      </c>
      <c r="L1560" s="896" t="s">
        <v>169</v>
      </c>
      <c r="M1560" s="935" t="s">
        <v>167</v>
      </c>
      <c r="N1560" s="52" t="str">
        <f>IF(AND('331-CT'!$E$7=TH!H1560,OR(L1560="331",M1560="331")),"331",IF(AND(OR(L1560="131",M1560="131"),H1560='131-CT'!$E$7),"131",""))</f>
        <v/>
      </c>
      <c r="O1560" s="89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54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225"/>
        <v>5</v>
      </c>
      <c r="C1561" s="48">
        <f t="shared" si="226"/>
        <v>41788</v>
      </c>
      <c r="D1561" s="914" t="s">
        <v>1383</v>
      </c>
      <c r="E1561" s="914">
        <v>41788</v>
      </c>
      <c r="F1561" s="915" t="s">
        <v>495</v>
      </c>
      <c r="G1561" s="936" t="s">
        <v>532</v>
      </c>
      <c r="H1561" s="919" t="s">
        <v>1376</v>
      </c>
      <c r="I1561" s="254">
        <v>500</v>
      </c>
      <c r="J1561" s="254">
        <v>7342.2341132145684</v>
      </c>
      <c r="K1561" s="916">
        <f t="shared" si="227"/>
        <v>3671117</v>
      </c>
      <c r="L1561" s="896" t="s">
        <v>169</v>
      </c>
      <c r="M1561" s="935" t="s">
        <v>167</v>
      </c>
      <c r="N1561" s="52" t="str">
        <f>IF(AND('331-CT'!$E$7=TH!H1561,OR(L1561="331",M1561="331")),"331",IF(AND(OR(L1561="131",M1561="131"),H1561='131-CT'!$E$7),"131",""))</f>
        <v/>
      </c>
      <c r="O1561" s="89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54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225"/>
        <v>5</v>
      </c>
      <c r="C1562" s="48">
        <f t="shared" si="226"/>
        <v>41788</v>
      </c>
      <c r="D1562" s="914" t="s">
        <v>1383</v>
      </c>
      <c r="E1562" s="914">
        <v>41788</v>
      </c>
      <c r="F1562" s="915" t="s">
        <v>534</v>
      </c>
      <c r="G1562" s="936" t="s">
        <v>535</v>
      </c>
      <c r="H1562" s="919" t="s">
        <v>1376</v>
      </c>
      <c r="I1562" s="254">
        <v>209</v>
      </c>
      <c r="J1562" s="254">
        <v>7190.3719122576304</v>
      </c>
      <c r="K1562" s="916">
        <f t="shared" si="227"/>
        <v>1502788</v>
      </c>
      <c r="L1562" s="896" t="s">
        <v>169</v>
      </c>
      <c r="M1562" s="935" t="s">
        <v>167</v>
      </c>
      <c r="N1562" s="52" t="str">
        <f>IF(AND('331-CT'!$E$7=TH!H1562,OR(L1562="331",M1562="331")),"331",IF(AND(OR(L1562="131",M1562="131"),H1562='131-CT'!$E$7),"131",""))</f>
        <v/>
      </c>
      <c r="O1562" s="89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54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225"/>
        <v>5</v>
      </c>
      <c r="C1563" s="48">
        <f t="shared" si="226"/>
        <v>41789</v>
      </c>
      <c r="D1563" s="914" t="s">
        <v>1383</v>
      </c>
      <c r="E1563" s="914">
        <v>41789</v>
      </c>
      <c r="F1563" s="915" t="s">
        <v>418</v>
      </c>
      <c r="G1563" s="936" t="s">
        <v>537</v>
      </c>
      <c r="H1563" s="919" t="s">
        <v>1376</v>
      </c>
      <c r="I1563" s="254">
        <v>1983</v>
      </c>
      <c r="J1563" s="254">
        <v>5668.1996200224357</v>
      </c>
      <c r="K1563" s="916">
        <f t="shared" si="227"/>
        <v>11240040</v>
      </c>
      <c r="L1563" s="896" t="s">
        <v>169</v>
      </c>
      <c r="M1563" s="935" t="s">
        <v>167</v>
      </c>
      <c r="N1563" s="52" t="str">
        <f>IF(AND('331-CT'!$E$7=TH!H1563,OR(L1563="331",M1563="331")),"331",IF(AND(OR(L1563="131",M1563="131"),H1563='131-CT'!$E$7),"131",""))</f>
        <v/>
      </c>
      <c r="O1563" s="89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54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225"/>
        <v>5</v>
      </c>
      <c r="C1564" s="48">
        <f t="shared" si="226"/>
        <v>41789</v>
      </c>
      <c r="D1564" s="914" t="s">
        <v>1383</v>
      </c>
      <c r="E1564" s="914">
        <v>41789</v>
      </c>
      <c r="F1564" s="915" t="s">
        <v>538</v>
      </c>
      <c r="G1564" s="936" t="s">
        <v>539</v>
      </c>
      <c r="H1564" s="919" t="s">
        <v>1376</v>
      </c>
      <c r="I1564" s="254">
        <v>548</v>
      </c>
      <c r="J1564" s="254">
        <v>12034.434113214567</v>
      </c>
      <c r="K1564" s="916">
        <f t="shared" si="227"/>
        <v>6594870</v>
      </c>
      <c r="L1564" s="896" t="s">
        <v>169</v>
      </c>
      <c r="M1564" s="935" t="s">
        <v>167</v>
      </c>
      <c r="N1564" s="52" t="str">
        <f>IF(AND('331-CT'!$E$7=TH!H1564,OR(L1564="331",M1564="331")),"331",IF(AND(OR(L1564="131",M1564="131"),H1564='131-CT'!$E$7),"131",""))</f>
        <v/>
      </c>
      <c r="O1564" s="89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54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225"/>
        <v>6</v>
      </c>
      <c r="C1565" s="48">
        <f t="shared" si="226"/>
        <v>41792</v>
      </c>
      <c r="D1565" s="914" t="s">
        <v>1383</v>
      </c>
      <c r="E1565" s="914">
        <v>41792</v>
      </c>
      <c r="F1565" s="915" t="s">
        <v>422</v>
      </c>
      <c r="G1565" s="936" t="s">
        <v>540</v>
      </c>
      <c r="H1565" s="919" t="s">
        <v>1376</v>
      </c>
      <c r="I1565" s="254">
        <v>1000</v>
      </c>
      <c r="J1565" s="254">
        <v>16949.434113214567</v>
      </c>
      <c r="K1565" s="916">
        <f t="shared" si="227"/>
        <v>16949434</v>
      </c>
      <c r="L1565" s="896" t="s">
        <v>169</v>
      </c>
      <c r="M1565" s="935" t="s">
        <v>167</v>
      </c>
      <c r="N1565" s="52" t="str">
        <f>IF(AND('331-CT'!$E$7=TH!H1565,OR(L1565="331",M1565="331")),"331",IF(AND(OR(L1565="131",M1565="131"),H1565='131-CT'!$E$7),"131",""))</f>
        <v/>
      </c>
      <c r="O1565" s="89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54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225"/>
        <v>6</v>
      </c>
      <c r="C1566" s="48">
        <f t="shared" si="226"/>
        <v>41792</v>
      </c>
      <c r="D1566" s="914" t="s">
        <v>1383</v>
      </c>
      <c r="E1566" s="914">
        <v>41792</v>
      </c>
      <c r="F1566" s="915" t="s">
        <v>541</v>
      </c>
      <c r="G1566" s="936" t="s">
        <v>542</v>
      </c>
      <c r="H1566" s="919" t="s">
        <v>1376</v>
      </c>
      <c r="I1566" s="254">
        <v>910</v>
      </c>
      <c r="J1566" s="254">
        <v>5484.9725747530301</v>
      </c>
      <c r="K1566" s="916">
        <f t="shared" si="227"/>
        <v>4991325</v>
      </c>
      <c r="L1566" s="896" t="s">
        <v>169</v>
      </c>
      <c r="M1566" s="935" t="s">
        <v>167</v>
      </c>
      <c r="N1566" s="52" t="str">
        <f>IF(AND('331-CT'!$E$7=TH!H1566,OR(L1566="331",M1566="331")),"331",IF(AND(OR(L1566="131",M1566="131"),H1566='131-CT'!$E$7),"131",""))</f>
        <v/>
      </c>
      <c r="O1566" s="89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54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225"/>
        <v>6</v>
      </c>
      <c r="C1567" s="48">
        <f t="shared" si="226"/>
        <v>41792</v>
      </c>
      <c r="D1567" s="914" t="s">
        <v>1383</v>
      </c>
      <c r="E1567" s="914">
        <v>41792</v>
      </c>
      <c r="F1567" s="915" t="s">
        <v>446</v>
      </c>
      <c r="G1567" s="936" t="s">
        <v>543</v>
      </c>
      <c r="H1567" s="919" t="s">
        <v>1376</v>
      </c>
      <c r="I1567" s="254">
        <v>2000</v>
      </c>
      <c r="J1567" s="254">
        <v>1516.6541132145683</v>
      </c>
      <c r="K1567" s="916">
        <f t="shared" si="227"/>
        <v>3033308</v>
      </c>
      <c r="L1567" s="896" t="s">
        <v>169</v>
      </c>
      <c r="M1567" s="935" t="s">
        <v>167</v>
      </c>
      <c r="N1567" s="52" t="str">
        <f>IF(AND('331-CT'!$E$7=TH!H1567,OR(L1567="331",M1567="331")),"331",IF(AND(OR(L1567="131",M1567="131"),H1567='131-CT'!$E$7),"131",""))</f>
        <v/>
      </c>
      <c r="O1567" s="89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54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225"/>
        <v>6</v>
      </c>
      <c r="C1568" s="48">
        <f t="shared" si="226"/>
        <v>41794</v>
      </c>
      <c r="D1568" s="914" t="s">
        <v>1383</v>
      </c>
      <c r="E1568" s="914">
        <v>41794</v>
      </c>
      <c r="F1568" s="915" t="s">
        <v>501</v>
      </c>
      <c r="G1568" s="936" t="s">
        <v>544</v>
      </c>
      <c r="H1568" s="919" t="s">
        <v>1376</v>
      </c>
      <c r="I1568" s="254">
        <v>500</v>
      </c>
      <c r="J1568" s="254">
        <v>6018.2341132145684</v>
      </c>
      <c r="K1568" s="916">
        <f t="shared" si="227"/>
        <v>3009117</v>
      </c>
      <c r="L1568" s="896" t="s">
        <v>169</v>
      </c>
      <c r="M1568" s="935" t="s">
        <v>167</v>
      </c>
      <c r="N1568" s="52" t="str">
        <f>IF(AND('331-CT'!$E$7=TH!H1568,OR(L1568="331",M1568="331")),"331",IF(AND(OR(L1568="131",M1568="131"),H1568='131-CT'!$E$7),"131",""))</f>
        <v/>
      </c>
      <c r="O1568" s="89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54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225"/>
        <v>6</v>
      </c>
      <c r="C1569" s="48">
        <f t="shared" si="226"/>
        <v>41794</v>
      </c>
      <c r="D1569" s="914" t="s">
        <v>1383</v>
      </c>
      <c r="E1569" s="914">
        <v>41794</v>
      </c>
      <c r="F1569" s="915" t="s">
        <v>504</v>
      </c>
      <c r="G1569" s="936" t="s">
        <v>544</v>
      </c>
      <c r="H1569" s="919" t="s">
        <v>1376</v>
      </c>
      <c r="I1569" s="254">
        <v>397</v>
      </c>
      <c r="J1569" s="254">
        <v>7677.5147177485724</v>
      </c>
      <c r="K1569" s="916">
        <f t="shared" si="227"/>
        <v>3047973</v>
      </c>
      <c r="L1569" s="896" t="s">
        <v>169</v>
      </c>
      <c r="M1569" s="935" t="s">
        <v>167</v>
      </c>
      <c r="N1569" s="52" t="str">
        <f>IF(AND('331-CT'!$E$7=TH!H1569,OR(L1569="331",M1569="331")),"331",IF(AND(OR(L1569="131",M1569="131"),H1569='131-CT'!$E$7),"131",""))</f>
        <v/>
      </c>
      <c r="O1569" s="89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54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225"/>
        <v>6</v>
      </c>
      <c r="C1570" s="48">
        <f t="shared" si="226"/>
        <v>41794</v>
      </c>
      <c r="D1570" s="914" t="s">
        <v>1383</v>
      </c>
      <c r="E1570" s="914">
        <v>41794</v>
      </c>
      <c r="F1570" s="915" t="s">
        <v>505</v>
      </c>
      <c r="G1570" s="936" t="s">
        <v>544</v>
      </c>
      <c r="H1570" s="919" t="s">
        <v>1376</v>
      </c>
      <c r="I1570" s="254">
        <v>200</v>
      </c>
      <c r="J1570" s="254">
        <v>6217.4341132145673</v>
      </c>
      <c r="K1570" s="916">
        <f t="shared" si="227"/>
        <v>1243487</v>
      </c>
      <c r="L1570" s="896" t="s">
        <v>169</v>
      </c>
      <c r="M1570" s="935" t="s">
        <v>167</v>
      </c>
      <c r="N1570" s="52" t="str">
        <f>IF(AND('331-CT'!$E$7=TH!H1570,OR(L1570="331",M1570="331")),"331",IF(AND(OR(L1570="131",M1570="131"),H1570='131-CT'!$E$7),"131",""))</f>
        <v/>
      </c>
      <c r="O1570" s="89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54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225"/>
        <v>6</v>
      </c>
      <c r="C1571" s="48">
        <f t="shared" si="226"/>
        <v>41794</v>
      </c>
      <c r="D1571" s="914" t="s">
        <v>1383</v>
      </c>
      <c r="E1571" s="914">
        <v>41794</v>
      </c>
      <c r="F1571" s="915" t="s">
        <v>406</v>
      </c>
      <c r="G1571" s="936" t="s">
        <v>544</v>
      </c>
      <c r="H1571" s="919" t="s">
        <v>1376</v>
      </c>
      <c r="I1571" s="254">
        <v>200</v>
      </c>
      <c r="J1571" s="254">
        <v>6415.4341132145673</v>
      </c>
      <c r="K1571" s="916">
        <f t="shared" si="227"/>
        <v>1283087</v>
      </c>
      <c r="L1571" s="896" t="s">
        <v>169</v>
      </c>
      <c r="M1571" s="935" t="s">
        <v>167</v>
      </c>
      <c r="N1571" s="52" t="str">
        <f>IF(AND('331-CT'!$E$7=TH!H1571,OR(L1571="331",M1571="331")),"331",IF(AND(OR(L1571="131",M1571="131"),H1571='131-CT'!$E$7),"131",""))</f>
        <v/>
      </c>
      <c r="O1571" s="89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54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225"/>
        <v>6</v>
      </c>
      <c r="C1572" s="48">
        <f t="shared" si="226"/>
        <v>41795</v>
      </c>
      <c r="D1572" s="914" t="s">
        <v>1383</v>
      </c>
      <c r="E1572" s="914">
        <v>41795</v>
      </c>
      <c r="F1572" s="915" t="s">
        <v>545</v>
      </c>
      <c r="G1572" s="936" t="s">
        <v>546</v>
      </c>
      <c r="H1572" s="919" t="s">
        <v>1376</v>
      </c>
      <c r="I1572" s="254">
        <v>190</v>
      </c>
      <c r="J1572" s="254">
        <v>22154.434113214567</v>
      </c>
      <c r="K1572" s="916">
        <f t="shared" si="227"/>
        <v>4209342</v>
      </c>
      <c r="L1572" s="896" t="s">
        <v>169</v>
      </c>
      <c r="M1572" s="935" t="s">
        <v>167</v>
      </c>
      <c r="N1572" s="52" t="str">
        <f>IF(AND('331-CT'!$E$7=TH!H1572,OR(L1572="331",M1572="331")),"331",IF(AND(OR(L1572="131",M1572="131"),H1572='131-CT'!$E$7),"131",""))</f>
        <v/>
      </c>
      <c r="O1572" s="89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54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225"/>
        <v>6</v>
      </c>
      <c r="C1573" s="48">
        <f t="shared" si="226"/>
        <v>41795</v>
      </c>
      <c r="D1573" s="914" t="s">
        <v>1383</v>
      </c>
      <c r="E1573" s="914">
        <v>41795</v>
      </c>
      <c r="F1573" s="915" t="s">
        <v>548</v>
      </c>
      <c r="G1573" s="936" t="s">
        <v>546</v>
      </c>
      <c r="H1573" s="919" t="s">
        <v>1376</v>
      </c>
      <c r="I1573" s="254">
        <v>190</v>
      </c>
      <c r="J1573" s="254">
        <v>25510.276218477724</v>
      </c>
      <c r="K1573" s="916">
        <f t="shared" si="227"/>
        <v>4846952</v>
      </c>
      <c r="L1573" s="896" t="s">
        <v>169</v>
      </c>
      <c r="M1573" s="935" t="s">
        <v>167</v>
      </c>
      <c r="N1573" s="52" t="str">
        <f>IF(AND('331-CT'!$E$7=TH!H1573,OR(L1573="331",M1573="331")),"331",IF(AND(OR(L1573="131",M1573="131"),H1573='131-CT'!$E$7),"131",""))</f>
        <v/>
      </c>
      <c r="O1573" s="89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54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225"/>
        <v>6</v>
      </c>
      <c r="C1574" s="48">
        <f t="shared" si="226"/>
        <v>41795</v>
      </c>
      <c r="D1574" s="914" t="s">
        <v>1383</v>
      </c>
      <c r="E1574" s="914">
        <v>41795</v>
      </c>
      <c r="F1574" s="915" t="s">
        <v>549</v>
      </c>
      <c r="G1574" s="936" t="s">
        <v>550</v>
      </c>
      <c r="H1574" s="919" t="s">
        <v>1376</v>
      </c>
      <c r="I1574" s="254">
        <v>100</v>
      </c>
      <c r="J1574" s="254">
        <v>10480.434113214567</v>
      </c>
      <c r="K1574" s="916">
        <f t="shared" si="227"/>
        <v>1048043</v>
      </c>
      <c r="L1574" s="896" t="s">
        <v>169</v>
      </c>
      <c r="M1574" s="935" t="s">
        <v>167</v>
      </c>
      <c r="N1574" s="52" t="str">
        <f>IF(AND('331-CT'!$E$7=TH!H1574,OR(L1574="331",M1574="331")),"331",IF(AND(OR(L1574="131",M1574="131"),H1574='131-CT'!$E$7),"131",""))</f>
        <v/>
      </c>
      <c r="O1574" s="89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54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225"/>
        <v>6</v>
      </c>
      <c r="C1575" s="48">
        <f t="shared" si="226"/>
        <v>41795</v>
      </c>
      <c r="D1575" s="914" t="s">
        <v>1383</v>
      </c>
      <c r="E1575" s="914">
        <v>41795</v>
      </c>
      <c r="F1575" s="915" t="s">
        <v>552</v>
      </c>
      <c r="G1575" s="936" t="s">
        <v>550</v>
      </c>
      <c r="H1575" s="919" t="s">
        <v>1376</v>
      </c>
      <c r="I1575" s="254">
        <v>200</v>
      </c>
      <c r="J1575" s="254">
        <v>5768.6341132145681</v>
      </c>
      <c r="K1575" s="916">
        <f t="shared" si="227"/>
        <v>1153727</v>
      </c>
      <c r="L1575" s="896" t="s">
        <v>169</v>
      </c>
      <c r="M1575" s="935" t="s">
        <v>167</v>
      </c>
      <c r="N1575" s="52" t="str">
        <f>IF(AND('331-CT'!$E$7=TH!H1575,OR(L1575="331",M1575="331")),"331",IF(AND(OR(L1575="131",M1575="131"),H1575='131-CT'!$E$7),"131",""))</f>
        <v/>
      </c>
      <c r="O1575" s="89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54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225"/>
        <v>6</v>
      </c>
      <c r="C1576" s="48">
        <f t="shared" si="226"/>
        <v>41799</v>
      </c>
      <c r="D1576" s="914" t="s">
        <v>1383</v>
      </c>
      <c r="E1576" s="914">
        <v>41799</v>
      </c>
      <c r="F1576" s="915" t="s">
        <v>553</v>
      </c>
      <c r="G1576" s="936" t="s">
        <v>554</v>
      </c>
      <c r="H1576" s="919" t="s">
        <v>1376</v>
      </c>
      <c r="I1576" s="254">
        <v>150</v>
      </c>
      <c r="J1576" s="254">
        <v>11834.767446547901</v>
      </c>
      <c r="K1576" s="916">
        <f t="shared" si="227"/>
        <v>1775215</v>
      </c>
      <c r="L1576" s="896" t="s">
        <v>169</v>
      </c>
      <c r="M1576" s="935" t="s">
        <v>167</v>
      </c>
      <c r="N1576" s="52" t="str">
        <f>IF(AND('331-CT'!$E$7=TH!H1576,OR(L1576="331",M1576="331")),"331",IF(AND(OR(L1576="131",M1576="131"),H1576='131-CT'!$E$7),"131",""))</f>
        <v/>
      </c>
      <c r="O1576" s="89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54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ref="B1577:B1640" si="228">IF(C1577&lt;&gt;"",MONTH(C1577),"")</f>
        <v>6</v>
      </c>
      <c r="C1577" s="48">
        <f t="shared" si="226"/>
        <v>41806</v>
      </c>
      <c r="D1577" s="914" t="s">
        <v>1383</v>
      </c>
      <c r="E1577" s="914">
        <v>41806</v>
      </c>
      <c r="F1577" s="915" t="s">
        <v>555</v>
      </c>
      <c r="G1577" s="936" t="s">
        <v>556</v>
      </c>
      <c r="H1577" s="919" t="s">
        <v>1376</v>
      </c>
      <c r="I1577" s="254">
        <v>398</v>
      </c>
      <c r="J1577" s="254">
        <v>24151.524565475876</v>
      </c>
      <c r="K1577" s="916">
        <f t="shared" si="227"/>
        <v>9612307</v>
      </c>
      <c r="L1577" s="896" t="s">
        <v>169</v>
      </c>
      <c r="M1577" s="935" t="s">
        <v>167</v>
      </c>
      <c r="N1577" s="52" t="str">
        <f>IF(AND('331-CT'!$E$7=TH!H1577,OR(L1577="331",M1577="331")),"331",IF(AND(OR(L1577="131",M1577="131"),H1577='131-CT'!$E$7),"131",""))</f>
        <v/>
      </c>
      <c r="O1577" s="89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54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228"/>
        <v>6</v>
      </c>
      <c r="C1578" s="48">
        <f t="shared" si="226"/>
        <v>41807</v>
      </c>
      <c r="D1578" s="914" t="s">
        <v>1383</v>
      </c>
      <c r="E1578" s="914">
        <v>41807</v>
      </c>
      <c r="F1578" s="915" t="s">
        <v>553</v>
      </c>
      <c r="G1578" s="936" t="s">
        <v>557</v>
      </c>
      <c r="H1578" s="919" t="s">
        <v>1376</v>
      </c>
      <c r="I1578" s="254">
        <v>150</v>
      </c>
      <c r="J1578" s="254">
        <v>10494.434113214569</v>
      </c>
      <c r="K1578" s="916">
        <f t="shared" si="227"/>
        <v>1574165</v>
      </c>
      <c r="L1578" s="896" t="s">
        <v>169</v>
      </c>
      <c r="M1578" s="935" t="s">
        <v>167</v>
      </c>
      <c r="N1578" s="52" t="str">
        <f>IF(AND('331-CT'!$E$7=TH!H1578,OR(L1578="331",M1578="331")),"331",IF(AND(OR(L1578="131",M1578="131"),H1578='131-CT'!$E$7),"131",""))</f>
        <v/>
      </c>
      <c r="O1578" s="89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54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228"/>
        <v>6</v>
      </c>
      <c r="C1579" s="48">
        <f t="shared" si="226"/>
        <v>41810</v>
      </c>
      <c r="D1579" s="914" t="s">
        <v>1383</v>
      </c>
      <c r="E1579" s="914">
        <v>41810</v>
      </c>
      <c r="F1579" s="915" t="s">
        <v>495</v>
      </c>
      <c r="G1579" s="936" t="s">
        <v>558</v>
      </c>
      <c r="H1579" s="919" t="s">
        <v>1376</v>
      </c>
      <c r="I1579" s="254">
        <v>542</v>
      </c>
      <c r="J1579" s="254">
        <v>7404.319722070657</v>
      </c>
      <c r="K1579" s="916">
        <f t="shared" si="227"/>
        <v>4013141</v>
      </c>
      <c r="L1579" s="896" t="s">
        <v>169</v>
      </c>
      <c r="M1579" s="935" t="s">
        <v>167</v>
      </c>
      <c r="N1579" s="52" t="str">
        <f>IF(AND('331-CT'!$E$7=TH!H1579,OR(L1579="331",M1579="331")),"331",IF(AND(OR(L1579="131",M1579="131"),H1579='131-CT'!$E$7),"131",""))</f>
        <v/>
      </c>
      <c r="O1579" s="89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54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228"/>
        <v>6</v>
      </c>
      <c r="C1580" s="48">
        <f t="shared" si="226"/>
        <v>41813</v>
      </c>
      <c r="D1580" s="914" t="s">
        <v>1383</v>
      </c>
      <c r="E1580" s="914">
        <v>41813</v>
      </c>
      <c r="F1580" s="915" t="s">
        <v>460</v>
      </c>
      <c r="G1580" s="936" t="s">
        <v>559</v>
      </c>
      <c r="H1580" s="919" t="s">
        <v>1376</v>
      </c>
      <c r="I1580" s="254">
        <v>984</v>
      </c>
      <c r="J1580" s="254">
        <v>7732.3162270357061</v>
      </c>
      <c r="K1580" s="916">
        <f t="shared" si="227"/>
        <v>7608599</v>
      </c>
      <c r="L1580" s="896" t="s">
        <v>169</v>
      </c>
      <c r="M1580" s="935" t="s">
        <v>167</v>
      </c>
      <c r="N1580" s="52" t="str">
        <f>IF(AND('331-CT'!$E$7=TH!H1580,OR(L1580="331",M1580="331")),"331",IF(AND(OR(L1580="131",M1580="131"),H1580='131-CT'!$E$7),"131",""))</f>
        <v/>
      </c>
      <c r="O1580" s="89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54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228"/>
        <v>6</v>
      </c>
      <c r="C1581" s="48">
        <f t="shared" si="226"/>
        <v>41814</v>
      </c>
      <c r="D1581" s="914" t="s">
        <v>1383</v>
      </c>
      <c r="E1581" s="914">
        <v>41814</v>
      </c>
      <c r="F1581" s="915" t="s">
        <v>560</v>
      </c>
      <c r="G1581" s="936" t="s">
        <v>561</v>
      </c>
      <c r="H1581" s="919" t="s">
        <v>1376</v>
      </c>
      <c r="I1581" s="254">
        <v>396</v>
      </c>
      <c r="J1581" s="254">
        <v>16826.767446547903</v>
      </c>
      <c r="K1581" s="916">
        <f t="shared" si="227"/>
        <v>6663400</v>
      </c>
      <c r="L1581" s="896" t="s">
        <v>169</v>
      </c>
      <c r="M1581" s="935" t="s">
        <v>167</v>
      </c>
      <c r="N1581" s="52" t="str">
        <f>IF(AND('331-CT'!$E$7=TH!H1581,OR(L1581="331",M1581="331")),"331",IF(AND(OR(L1581="131",M1581="131"),H1581='131-CT'!$E$7),"131",""))</f>
        <v/>
      </c>
      <c r="O1581" s="89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54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228"/>
        <v>6</v>
      </c>
      <c r="C1582" s="48">
        <f t="shared" si="226"/>
        <v>41814</v>
      </c>
      <c r="D1582" s="914" t="s">
        <v>1383</v>
      </c>
      <c r="E1582" s="914">
        <v>41814</v>
      </c>
      <c r="F1582" s="915" t="s">
        <v>563</v>
      </c>
      <c r="G1582" s="936" t="s">
        <v>561</v>
      </c>
      <c r="H1582" s="919" t="s">
        <v>1376</v>
      </c>
      <c r="I1582" s="254">
        <v>100</v>
      </c>
      <c r="J1582" s="254">
        <v>16117.434113214567</v>
      </c>
      <c r="K1582" s="916">
        <f t="shared" si="227"/>
        <v>1611743</v>
      </c>
      <c r="L1582" s="896" t="s">
        <v>169</v>
      </c>
      <c r="M1582" s="935" t="s">
        <v>167</v>
      </c>
      <c r="N1582" s="52" t="str">
        <f>IF(AND('331-CT'!$E$7=TH!H1582,OR(L1582="331",M1582="331")),"331",IF(AND(OR(L1582="131",M1582="131"),H1582='131-CT'!$E$7),"131",""))</f>
        <v/>
      </c>
      <c r="O1582" s="89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54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228"/>
        <v>6</v>
      </c>
      <c r="C1583" s="48">
        <f t="shared" si="226"/>
        <v>41815</v>
      </c>
      <c r="D1583" s="914" t="s">
        <v>1383</v>
      </c>
      <c r="E1583" s="914">
        <v>41815</v>
      </c>
      <c r="F1583" s="915" t="s">
        <v>564</v>
      </c>
      <c r="G1583" s="936" t="s">
        <v>565</v>
      </c>
      <c r="H1583" s="919" t="s">
        <v>1376</v>
      </c>
      <c r="I1583" s="254">
        <v>541</v>
      </c>
      <c r="J1583" s="254">
        <v>12034.434113214569</v>
      </c>
      <c r="K1583" s="916">
        <f t="shared" si="227"/>
        <v>6510629</v>
      </c>
      <c r="L1583" s="896" t="s">
        <v>169</v>
      </c>
      <c r="M1583" s="935" t="s">
        <v>167</v>
      </c>
      <c r="N1583" s="52" t="str">
        <f>IF(AND('331-CT'!$E$7=TH!H1583,OR(L1583="331",M1583="331")),"331",IF(AND(OR(L1583="131",M1583="131"),H1583='131-CT'!$E$7),"131",""))</f>
        <v/>
      </c>
      <c r="O1583" s="89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54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228"/>
        <v>6</v>
      </c>
      <c r="C1584" s="48">
        <f t="shared" si="226"/>
        <v>41818</v>
      </c>
      <c r="D1584" s="914" t="s">
        <v>1383</v>
      </c>
      <c r="E1584" s="914">
        <v>41818</v>
      </c>
      <c r="F1584" s="915" t="s">
        <v>418</v>
      </c>
      <c r="G1584" s="936" t="s">
        <v>566</v>
      </c>
      <c r="H1584" s="919" t="s">
        <v>1376</v>
      </c>
      <c r="I1584" s="254">
        <v>2917</v>
      </c>
      <c r="J1584" s="254">
        <v>6485.4738800983532</v>
      </c>
      <c r="K1584" s="916">
        <f t="shared" si="227"/>
        <v>18918127</v>
      </c>
      <c r="L1584" s="896" t="s">
        <v>169</v>
      </c>
      <c r="M1584" s="935" t="s">
        <v>167</v>
      </c>
      <c r="N1584" s="52" t="str">
        <f>IF(AND('331-CT'!$E$7=TH!H1584,OR(L1584="331",M1584="331")),"331",IF(AND(OR(L1584="131",M1584="131"),H1584='131-CT'!$E$7),"131",""))</f>
        <v/>
      </c>
      <c r="O1584" s="89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54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228"/>
        <v>6</v>
      </c>
      <c r="C1585" s="48">
        <f t="shared" si="226"/>
        <v>41820</v>
      </c>
      <c r="D1585" s="914" t="s">
        <v>1383</v>
      </c>
      <c r="E1585" s="914">
        <v>41820</v>
      </c>
      <c r="F1585" s="915" t="s">
        <v>567</v>
      </c>
      <c r="G1585" s="936" t="s">
        <v>568</v>
      </c>
      <c r="H1585" s="919" t="s">
        <v>1376</v>
      </c>
      <c r="I1585" s="254">
        <v>550</v>
      </c>
      <c r="J1585" s="254">
        <v>10184.910476850931</v>
      </c>
      <c r="K1585" s="916">
        <f t="shared" si="227"/>
        <v>5601701</v>
      </c>
      <c r="L1585" s="896" t="s">
        <v>169</v>
      </c>
      <c r="M1585" s="935" t="s">
        <v>167</v>
      </c>
      <c r="N1585" s="52" t="str">
        <f>IF(AND('331-CT'!$E$7=TH!H1585,OR(L1585="331",M1585="331")),"331",IF(AND(OR(L1585="131",M1585="131"),H1585='131-CT'!$E$7),"131",""))</f>
        <v/>
      </c>
      <c r="O1585" s="89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54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228"/>
        <v>6</v>
      </c>
      <c r="C1586" s="48">
        <f t="shared" si="226"/>
        <v>41820</v>
      </c>
      <c r="D1586" s="914" t="s">
        <v>1383</v>
      </c>
      <c r="E1586" s="914">
        <v>41820</v>
      </c>
      <c r="F1586" s="915" t="s">
        <v>437</v>
      </c>
      <c r="G1586" s="936" t="s">
        <v>568</v>
      </c>
      <c r="H1586" s="919" t="s">
        <v>1376</v>
      </c>
      <c r="I1586" s="254">
        <v>500</v>
      </c>
      <c r="J1586" s="254">
        <v>9464.4341132145692</v>
      </c>
      <c r="K1586" s="916">
        <f t="shared" si="227"/>
        <v>4732217</v>
      </c>
      <c r="L1586" s="896" t="s">
        <v>169</v>
      </c>
      <c r="M1586" s="935" t="s">
        <v>167</v>
      </c>
      <c r="N1586" s="52" t="str">
        <f>IF(AND('331-CT'!$E$7=TH!H1586,OR(L1586="331",M1586="331")),"331",IF(AND(OR(L1586="131",M1586="131"),H1586='131-CT'!$E$7),"131",""))</f>
        <v/>
      </c>
      <c r="O1586" s="89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54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228"/>
        <v>6</v>
      </c>
      <c r="C1587" s="48">
        <f t="shared" si="226"/>
        <v>41820</v>
      </c>
      <c r="D1587" s="914" t="s">
        <v>1383</v>
      </c>
      <c r="E1587" s="914">
        <v>41820</v>
      </c>
      <c r="F1587" s="915" t="s">
        <v>569</v>
      </c>
      <c r="G1587" s="936" t="s">
        <v>570</v>
      </c>
      <c r="H1587" s="919" t="s">
        <v>1376</v>
      </c>
      <c r="I1587" s="254">
        <v>203</v>
      </c>
      <c r="J1587" s="254">
        <v>9845.2567733130909</v>
      </c>
      <c r="K1587" s="916">
        <f t="shared" si="227"/>
        <v>1998587</v>
      </c>
      <c r="L1587" s="896" t="s">
        <v>169</v>
      </c>
      <c r="M1587" s="935" t="s">
        <v>167</v>
      </c>
      <c r="N1587" s="52" t="str">
        <f>IF(AND('331-CT'!$E$7=TH!H1587,OR(L1587="331",M1587="331")),"331",IF(AND(OR(L1587="131",M1587="131"),H1587='131-CT'!$E$7),"131",""))</f>
        <v/>
      </c>
      <c r="O1587" s="89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54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228"/>
        <v>6</v>
      </c>
      <c r="C1588" s="48">
        <f t="shared" si="226"/>
        <v>41820</v>
      </c>
      <c r="D1588" s="914" t="s">
        <v>1383</v>
      </c>
      <c r="E1588" s="914">
        <v>41820</v>
      </c>
      <c r="F1588" s="915" t="s">
        <v>488</v>
      </c>
      <c r="G1588" s="936" t="s">
        <v>570</v>
      </c>
      <c r="H1588" s="919" t="s">
        <v>1376</v>
      </c>
      <c r="I1588" s="254">
        <v>205</v>
      </c>
      <c r="J1588" s="254">
        <v>5660.4585034584707</v>
      </c>
      <c r="K1588" s="916">
        <f t="shared" si="227"/>
        <v>1160394</v>
      </c>
      <c r="L1588" s="896" t="s">
        <v>169</v>
      </c>
      <c r="M1588" s="935" t="s">
        <v>167</v>
      </c>
      <c r="N1588" s="52" t="str">
        <f>IF(AND('331-CT'!$E$7=TH!H1588,OR(L1588="331",M1588="331")),"331",IF(AND(OR(L1588="131",M1588="131"),H1588='131-CT'!$E$7),"131",""))</f>
        <v/>
      </c>
      <c r="O1588" s="89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54"/>
    </row>
    <row r="1589" spans="1:28" s="856" customFormat="1" ht="15.75" customHeight="1">
      <c r="A1589" s="844" t="str">
        <f>IF(B1589&lt;&gt;"",IF(AND(B1589&gt;=_TM1,B1589&lt;=_TM2,OR(TH!L1589="1111",TH!M1589="1111")),TH!D1589,""),"")</f>
        <v/>
      </c>
      <c r="B1589" s="845">
        <f t="shared" si="228"/>
        <v>7</v>
      </c>
      <c r="C1589" s="933">
        <f t="shared" si="226"/>
        <v>41831</v>
      </c>
      <c r="D1589" s="914" t="s">
        <v>1383</v>
      </c>
      <c r="E1589" s="847">
        <v>41831</v>
      </c>
      <c r="F1589" s="857" t="s">
        <v>516</v>
      </c>
      <c r="G1589" s="858" t="s">
        <v>571</v>
      </c>
      <c r="H1589" s="850" t="s">
        <v>1376</v>
      </c>
      <c r="I1589" s="851">
        <v>570</v>
      </c>
      <c r="J1589" s="851">
        <v>9387.4086014726599</v>
      </c>
      <c r="K1589" s="852">
        <f t="shared" si="227"/>
        <v>5350823</v>
      </c>
      <c r="L1589" s="934" t="s">
        <v>169</v>
      </c>
      <c r="M1589" s="853" t="s">
        <v>167</v>
      </c>
      <c r="N1589" s="52" t="str">
        <f>IF(AND('331-CT'!$E$7=TH!H1589,OR(L1589="331",M1589="331")),"331",IF(AND(OR(L1589="131",M1589="131"),H1589='131-CT'!$E$7),"131",""))</f>
        <v/>
      </c>
      <c r="O1589" s="89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>x</v>
      </c>
      <c r="AB1589" s="854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228"/>
        <v>7</v>
      </c>
      <c r="C1590" s="48">
        <f t="shared" si="226"/>
        <v>41831</v>
      </c>
      <c r="D1590" s="914" t="s">
        <v>1383</v>
      </c>
      <c r="E1590" s="914">
        <v>41831</v>
      </c>
      <c r="F1590" s="915" t="s">
        <v>516</v>
      </c>
      <c r="G1590" s="936" t="s">
        <v>571</v>
      </c>
      <c r="H1590" s="919" t="s">
        <v>1376</v>
      </c>
      <c r="I1590" s="254">
        <v>564</v>
      </c>
      <c r="J1590" s="254">
        <v>9387.4086014726599</v>
      </c>
      <c r="K1590" s="916">
        <f t="shared" si="227"/>
        <v>5294498</v>
      </c>
      <c r="L1590" s="896" t="s">
        <v>169</v>
      </c>
      <c r="M1590" s="935" t="s">
        <v>167</v>
      </c>
      <c r="N1590" s="52" t="str">
        <f>IF(AND('331-CT'!$E$7=TH!H1590,OR(L1590="331",M1590="331")),"331",IF(AND(OR(L1590="131",M1590="131"),H1590='131-CT'!$E$7),"131",""))</f>
        <v/>
      </c>
      <c r="O1590" s="89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>x</v>
      </c>
      <c r="AB1590" s="854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228"/>
        <v>7</v>
      </c>
      <c r="C1591" s="48">
        <f t="shared" si="226"/>
        <v>41832</v>
      </c>
      <c r="D1591" s="914" t="s">
        <v>1383</v>
      </c>
      <c r="E1591" s="914">
        <v>41832</v>
      </c>
      <c r="F1591" s="915" t="s">
        <v>572</v>
      </c>
      <c r="G1591" s="936" t="s">
        <v>573</v>
      </c>
      <c r="H1591" s="919" t="s">
        <v>1376</v>
      </c>
      <c r="I1591" s="254">
        <v>393</v>
      </c>
      <c r="J1591" s="254">
        <v>6203.8526409732367</v>
      </c>
      <c r="K1591" s="916">
        <f t="shared" si="227"/>
        <v>2438114</v>
      </c>
      <c r="L1591" s="896" t="s">
        <v>169</v>
      </c>
      <c r="M1591" s="935" t="s">
        <v>167</v>
      </c>
      <c r="N1591" s="52" t="str">
        <f>IF(AND('331-CT'!$E$7=TH!H1591,OR(L1591="331",M1591="331")),"331",IF(AND(OR(L1591="131",M1591="131"),H1591='131-CT'!$E$7),"131",""))</f>
        <v/>
      </c>
      <c r="O1591" s="89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>x</v>
      </c>
      <c r="AB1591" s="854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228"/>
        <v>7</v>
      </c>
      <c r="C1592" s="48">
        <f t="shared" si="226"/>
        <v>41832</v>
      </c>
      <c r="D1592" s="914" t="s">
        <v>1383</v>
      </c>
      <c r="E1592" s="914">
        <v>41832</v>
      </c>
      <c r="F1592" s="915" t="s">
        <v>574</v>
      </c>
      <c r="G1592" s="936" t="s">
        <v>573</v>
      </c>
      <c r="H1592" s="919" t="s">
        <v>1376</v>
      </c>
      <c r="I1592" s="254">
        <v>480</v>
      </c>
      <c r="J1592" s="254">
        <v>9877.1864415494947</v>
      </c>
      <c r="K1592" s="916">
        <f t="shared" si="227"/>
        <v>4741049</v>
      </c>
      <c r="L1592" s="896" t="s">
        <v>169</v>
      </c>
      <c r="M1592" s="935" t="s">
        <v>167</v>
      </c>
      <c r="N1592" s="52" t="str">
        <f>IF(AND('331-CT'!$E$7=TH!H1592,OR(L1592="331",M1592="331")),"331",IF(AND(OR(L1592="131",M1592="131"),H1592='131-CT'!$E$7),"131",""))</f>
        <v/>
      </c>
      <c r="O1592" s="89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>x</v>
      </c>
      <c r="AB1592" s="854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228"/>
        <v>7</v>
      </c>
      <c r="C1593" s="48">
        <f t="shared" si="226"/>
        <v>41832</v>
      </c>
      <c r="D1593" s="914" t="s">
        <v>1383</v>
      </c>
      <c r="E1593" s="914">
        <v>41832</v>
      </c>
      <c r="F1593" s="915" t="s">
        <v>575</v>
      </c>
      <c r="G1593" s="936" t="s">
        <v>573</v>
      </c>
      <c r="H1593" s="919" t="s">
        <v>1376</v>
      </c>
      <c r="I1593" s="254">
        <v>219</v>
      </c>
      <c r="J1593" s="254">
        <v>9795.5568015366898</v>
      </c>
      <c r="K1593" s="916">
        <f t="shared" si="227"/>
        <v>2145227</v>
      </c>
      <c r="L1593" s="896" t="s">
        <v>169</v>
      </c>
      <c r="M1593" s="935" t="s">
        <v>167</v>
      </c>
      <c r="N1593" s="52" t="str">
        <f>IF(AND('331-CT'!$E$7=TH!H1593,OR(L1593="331",M1593="331")),"331",IF(AND(OR(L1593="131",M1593="131"),H1593='131-CT'!$E$7),"131",""))</f>
        <v/>
      </c>
      <c r="O1593" s="89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>x</v>
      </c>
      <c r="AB1593" s="854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228"/>
        <v>7</v>
      </c>
      <c r="C1594" s="48">
        <f t="shared" si="226"/>
        <v>41834</v>
      </c>
      <c r="D1594" s="914" t="s">
        <v>1383</v>
      </c>
      <c r="E1594" s="914">
        <v>41834</v>
      </c>
      <c r="F1594" s="915" t="s">
        <v>576</v>
      </c>
      <c r="G1594" s="936" t="s">
        <v>577</v>
      </c>
      <c r="H1594" s="919" t="s">
        <v>1376</v>
      </c>
      <c r="I1594" s="254">
        <v>300</v>
      </c>
      <c r="J1594" s="254">
        <v>8897.630761395827</v>
      </c>
      <c r="K1594" s="916">
        <f t="shared" si="227"/>
        <v>2669289</v>
      </c>
      <c r="L1594" s="896" t="s">
        <v>169</v>
      </c>
      <c r="M1594" s="935" t="s">
        <v>167</v>
      </c>
      <c r="N1594" s="52" t="str">
        <f>IF(AND('331-CT'!$E$7=TH!H1594,OR(L1594="331",M1594="331")),"331",IF(AND(OR(L1594="131",M1594="131"),H1594='131-CT'!$E$7),"131",""))</f>
        <v/>
      </c>
      <c r="O1594" s="89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>x</v>
      </c>
      <c r="AB1594" s="854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228"/>
        <v>7</v>
      </c>
      <c r="C1595" s="48">
        <f t="shared" si="226"/>
        <v>41834</v>
      </c>
      <c r="D1595" s="914" t="s">
        <v>1383</v>
      </c>
      <c r="E1595" s="914">
        <v>41834</v>
      </c>
      <c r="F1595" s="915" t="s">
        <v>578</v>
      </c>
      <c r="G1595" s="936" t="s">
        <v>577</v>
      </c>
      <c r="H1595" s="919" t="s">
        <v>1376</v>
      </c>
      <c r="I1595" s="254">
        <v>720</v>
      </c>
      <c r="J1595" s="254">
        <v>9224.1493214470484</v>
      </c>
      <c r="K1595" s="916">
        <f t="shared" si="227"/>
        <v>6641388</v>
      </c>
      <c r="L1595" s="896" t="s">
        <v>169</v>
      </c>
      <c r="M1595" s="935" t="s">
        <v>167</v>
      </c>
      <c r="N1595" s="52" t="str">
        <f>IF(AND('331-CT'!$E$7=TH!H1595,OR(L1595="331",M1595="331")),"331",IF(AND(OR(L1595="131",M1595="131"),H1595='131-CT'!$E$7),"131",""))</f>
        <v/>
      </c>
      <c r="O1595" s="89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>x</v>
      </c>
      <c r="AB1595" s="854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228"/>
        <v>7</v>
      </c>
      <c r="C1596" s="48">
        <f t="shared" si="226"/>
        <v>41834</v>
      </c>
      <c r="D1596" s="914" t="s">
        <v>1383</v>
      </c>
      <c r="E1596" s="914">
        <v>41834</v>
      </c>
      <c r="F1596" s="915" t="s">
        <v>437</v>
      </c>
      <c r="G1596" s="936" t="s">
        <v>579</v>
      </c>
      <c r="H1596" s="919" t="s">
        <v>1376</v>
      </c>
      <c r="I1596" s="254">
        <v>522</v>
      </c>
      <c r="J1596" s="254">
        <v>7754.8158012165459</v>
      </c>
      <c r="K1596" s="916">
        <f t="shared" si="227"/>
        <v>4048014</v>
      </c>
      <c r="L1596" s="896" t="s">
        <v>169</v>
      </c>
      <c r="M1596" s="935" t="s">
        <v>167</v>
      </c>
      <c r="N1596" s="52" t="str">
        <f>IF(AND('331-CT'!$E$7=TH!H1596,OR(L1596="331",M1596="331")),"331",IF(AND(OR(L1596="131",M1596="131"),H1596='131-CT'!$E$7),"131",""))</f>
        <v/>
      </c>
      <c r="O1596" s="89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>x</v>
      </c>
      <c r="AB1596" s="854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228"/>
        <v>7</v>
      </c>
      <c r="C1597" s="48">
        <f t="shared" si="226"/>
        <v>41834</v>
      </c>
      <c r="D1597" s="914" t="s">
        <v>1383</v>
      </c>
      <c r="E1597" s="914">
        <v>41834</v>
      </c>
      <c r="F1597" s="915" t="s">
        <v>575</v>
      </c>
      <c r="G1597" s="936" t="s">
        <v>579</v>
      </c>
      <c r="H1597" s="919" t="s">
        <v>1376</v>
      </c>
      <c r="I1597" s="254">
        <v>525</v>
      </c>
      <c r="J1597" s="254">
        <v>9795.5568015366898</v>
      </c>
      <c r="K1597" s="916">
        <f t="shared" si="227"/>
        <v>5142667</v>
      </c>
      <c r="L1597" s="896" t="s">
        <v>169</v>
      </c>
      <c r="M1597" s="935" t="s">
        <v>167</v>
      </c>
      <c r="N1597" s="52" t="str">
        <f>IF(AND('331-CT'!$E$7=TH!H1597,OR(L1597="331",M1597="331")),"331",IF(AND(OR(L1597="131",M1597="131"),H1597='131-CT'!$E$7),"131",""))</f>
        <v/>
      </c>
      <c r="O1597" s="89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>x</v>
      </c>
      <c r="AB1597" s="854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228"/>
        <v>7</v>
      </c>
      <c r="C1598" s="48">
        <f t="shared" si="226"/>
        <v>41834</v>
      </c>
      <c r="D1598" s="914" t="s">
        <v>1383</v>
      </c>
      <c r="E1598" s="914">
        <v>41834</v>
      </c>
      <c r="F1598" s="915" t="s">
        <v>509</v>
      </c>
      <c r="G1598" s="936" t="s">
        <v>580</v>
      </c>
      <c r="H1598" s="919" t="s">
        <v>1376</v>
      </c>
      <c r="I1598" s="254">
        <v>214</v>
      </c>
      <c r="J1598" s="254">
        <v>7673.1861612037401</v>
      </c>
      <c r="K1598" s="916">
        <f t="shared" si="227"/>
        <v>1642062</v>
      </c>
      <c r="L1598" s="896" t="s">
        <v>169</v>
      </c>
      <c r="M1598" s="935" t="s">
        <v>167</v>
      </c>
      <c r="N1598" s="52" t="str">
        <f>IF(AND('331-CT'!$E$7=TH!H1598,OR(L1598="331",M1598="331")),"331",IF(AND(OR(L1598="131",M1598="131"),H1598='131-CT'!$E$7),"131",""))</f>
        <v/>
      </c>
      <c r="O1598" s="89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>x</v>
      </c>
      <c r="AB1598" s="854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228"/>
        <v>7</v>
      </c>
      <c r="C1599" s="48">
        <f t="shared" si="226"/>
        <v>41834</v>
      </c>
      <c r="D1599" s="914" t="s">
        <v>1383</v>
      </c>
      <c r="E1599" s="914">
        <v>41834</v>
      </c>
      <c r="F1599" s="915" t="s">
        <v>487</v>
      </c>
      <c r="G1599" s="936" t="s">
        <v>580</v>
      </c>
      <c r="H1599" s="919" t="s">
        <v>1376</v>
      </c>
      <c r="I1599" s="254">
        <v>133</v>
      </c>
      <c r="J1599" s="254">
        <v>7265.037961139712</v>
      </c>
      <c r="K1599" s="916">
        <f t="shared" si="227"/>
        <v>966250</v>
      </c>
      <c r="L1599" s="896" t="s">
        <v>169</v>
      </c>
      <c r="M1599" s="935" t="s">
        <v>167</v>
      </c>
      <c r="N1599" s="52" t="str">
        <f>IF(AND('331-CT'!$E$7=TH!H1599,OR(L1599="331",M1599="331")),"331",IF(AND(OR(L1599="131",M1599="131"),H1599='131-CT'!$E$7),"131",""))</f>
        <v/>
      </c>
      <c r="O1599" s="89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>x</v>
      </c>
      <c r="AB1599" s="854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228"/>
        <v>7</v>
      </c>
      <c r="C1600" s="48">
        <f t="shared" si="226"/>
        <v>41837</v>
      </c>
      <c r="D1600" s="914" t="s">
        <v>1383</v>
      </c>
      <c r="E1600" s="914">
        <v>41837</v>
      </c>
      <c r="F1600" s="915" t="s">
        <v>581</v>
      </c>
      <c r="G1600" s="936" t="s">
        <v>582</v>
      </c>
      <c r="H1600" s="919" t="s">
        <v>1376</v>
      </c>
      <c r="I1600" s="254">
        <v>115</v>
      </c>
      <c r="J1600" s="254">
        <v>11183.260681754389</v>
      </c>
      <c r="K1600" s="916">
        <f t="shared" si="227"/>
        <v>1286075</v>
      </c>
      <c r="L1600" s="896" t="s">
        <v>169</v>
      </c>
      <c r="M1600" s="935" t="s">
        <v>167</v>
      </c>
      <c r="N1600" s="52" t="str">
        <f>IF(AND('331-CT'!$E$7=TH!H1600,OR(L1600="331",M1600="331")),"331",IF(AND(OR(L1600="131",M1600="131"),H1600='131-CT'!$E$7),"131",""))</f>
        <v/>
      </c>
      <c r="O1600" s="89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>x</v>
      </c>
      <c r="AB1600" s="854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228"/>
        <v>7</v>
      </c>
      <c r="C1601" s="48">
        <f t="shared" si="226"/>
        <v>41837</v>
      </c>
      <c r="D1601" s="914" t="s">
        <v>1383</v>
      </c>
      <c r="E1601" s="914">
        <v>41837</v>
      </c>
      <c r="F1601" s="915" t="s">
        <v>584</v>
      </c>
      <c r="G1601" s="936" t="s">
        <v>582</v>
      </c>
      <c r="H1601" s="919" t="s">
        <v>1376</v>
      </c>
      <c r="I1601" s="254">
        <v>15</v>
      </c>
      <c r="J1601" s="254">
        <v>14121.927722215394</v>
      </c>
      <c r="K1601" s="916">
        <f t="shared" si="227"/>
        <v>211829</v>
      </c>
      <c r="L1601" s="896" t="s">
        <v>169</v>
      </c>
      <c r="M1601" s="935" t="s">
        <v>167</v>
      </c>
      <c r="N1601" s="52" t="str">
        <f>IF(AND('331-CT'!$E$7=TH!H1601,OR(L1601="331",M1601="331")),"331",IF(AND(OR(L1601="131",M1601="131"),H1601='131-CT'!$E$7),"131",""))</f>
        <v/>
      </c>
      <c r="O1601" s="89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>x</v>
      </c>
      <c r="AB1601" s="854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228"/>
        <v>7</v>
      </c>
      <c r="C1602" s="48">
        <f t="shared" si="226"/>
        <v>41837</v>
      </c>
      <c r="D1602" s="914" t="s">
        <v>1383</v>
      </c>
      <c r="E1602" s="914">
        <v>41837</v>
      </c>
      <c r="F1602" s="915" t="s">
        <v>585</v>
      </c>
      <c r="G1602" s="936" t="s">
        <v>582</v>
      </c>
      <c r="H1602" s="919" t="s">
        <v>1376</v>
      </c>
      <c r="I1602" s="254">
        <v>40</v>
      </c>
      <c r="J1602" s="254">
        <v>8979.2604014086337</v>
      </c>
      <c r="K1602" s="916">
        <f t="shared" si="227"/>
        <v>359170</v>
      </c>
      <c r="L1602" s="896" t="s">
        <v>169</v>
      </c>
      <c r="M1602" s="935" t="s">
        <v>167</v>
      </c>
      <c r="N1602" s="52" t="str">
        <f>IF(AND('331-CT'!$E$7=TH!H1602,OR(L1602="331",M1602="331")),"331",IF(AND(OR(L1602="131",M1602="131"),H1602='131-CT'!$E$7),"131",""))</f>
        <v/>
      </c>
      <c r="O1602" s="89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>x</v>
      </c>
      <c r="AB1602" s="854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228"/>
        <v>7</v>
      </c>
      <c r="C1603" s="48">
        <f t="shared" ref="C1603:C1666" si="229">E1603</f>
        <v>41837</v>
      </c>
      <c r="D1603" s="914" t="s">
        <v>1383</v>
      </c>
      <c r="E1603" s="914">
        <v>41837</v>
      </c>
      <c r="F1603" s="915" t="s">
        <v>586</v>
      </c>
      <c r="G1603" s="936" t="s">
        <v>582</v>
      </c>
      <c r="H1603" s="919" t="s">
        <v>1376</v>
      </c>
      <c r="I1603" s="254">
        <v>720</v>
      </c>
      <c r="J1603" s="254">
        <v>11183.260681754389</v>
      </c>
      <c r="K1603" s="916">
        <f t="shared" ref="K1603:K1666" si="230">ROUND(I1603*J1603,0)</f>
        <v>8051948</v>
      </c>
      <c r="L1603" s="896" t="s">
        <v>169</v>
      </c>
      <c r="M1603" s="935" t="s">
        <v>167</v>
      </c>
      <c r="N1603" s="52" t="str">
        <f>IF(AND('331-CT'!$E$7=TH!H1603,OR(L1603="331",M1603="331")),"331",IF(AND(OR(L1603="131",M1603="131"),H1603='131-CT'!$E$7),"131",""))</f>
        <v/>
      </c>
      <c r="O1603" s="89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>x</v>
      </c>
      <c r="AB1603" s="854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228"/>
        <v>7</v>
      </c>
      <c r="C1604" s="48">
        <f t="shared" si="229"/>
        <v>41837</v>
      </c>
      <c r="D1604" s="914" t="s">
        <v>1383</v>
      </c>
      <c r="E1604" s="914">
        <v>41837</v>
      </c>
      <c r="F1604" s="915" t="s">
        <v>587</v>
      </c>
      <c r="G1604" s="936" t="s">
        <v>582</v>
      </c>
      <c r="H1604" s="919" t="s">
        <v>1376</v>
      </c>
      <c r="I1604" s="254">
        <v>370</v>
      </c>
      <c r="J1604" s="254">
        <v>10122.075361587913</v>
      </c>
      <c r="K1604" s="916">
        <f t="shared" si="230"/>
        <v>3745168</v>
      </c>
      <c r="L1604" s="896" t="s">
        <v>169</v>
      </c>
      <c r="M1604" s="935" t="s">
        <v>167</v>
      </c>
      <c r="N1604" s="52" t="str">
        <f>IF(AND('331-CT'!$E$7=TH!H1604,OR(L1604="331",M1604="331")),"331",IF(AND(OR(L1604="131",M1604="131"),H1604='131-CT'!$E$7),"131",""))</f>
        <v/>
      </c>
      <c r="O1604" s="89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>x</v>
      </c>
      <c r="AB1604" s="854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228"/>
        <v>7</v>
      </c>
      <c r="C1605" s="48">
        <f t="shared" si="229"/>
        <v>41837</v>
      </c>
      <c r="D1605" s="914" t="s">
        <v>1383</v>
      </c>
      <c r="E1605" s="914">
        <v>41837</v>
      </c>
      <c r="F1605" s="915" t="s">
        <v>495</v>
      </c>
      <c r="G1605" s="936" t="s">
        <v>588</v>
      </c>
      <c r="H1605" s="919" t="s">
        <v>1376</v>
      </c>
      <c r="I1605" s="254">
        <v>500</v>
      </c>
      <c r="J1605" s="254">
        <v>7101.7786811141004</v>
      </c>
      <c r="K1605" s="916">
        <f t="shared" si="230"/>
        <v>3550889</v>
      </c>
      <c r="L1605" s="896" t="s">
        <v>169</v>
      </c>
      <c r="M1605" s="935" t="s">
        <v>167</v>
      </c>
      <c r="N1605" s="52" t="str">
        <f>IF(AND('331-CT'!$E$7=TH!H1605,OR(L1605="331",M1605="331")),"331",IF(AND(OR(L1605="131",M1605="131"),H1605='131-CT'!$E$7),"131",""))</f>
        <v/>
      </c>
      <c r="O1605" s="89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>x</v>
      </c>
      <c r="AB1605" s="854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228"/>
        <v>7</v>
      </c>
      <c r="C1606" s="48">
        <f t="shared" si="229"/>
        <v>41837</v>
      </c>
      <c r="D1606" s="914" t="s">
        <v>1383</v>
      </c>
      <c r="E1606" s="914">
        <v>41837</v>
      </c>
      <c r="F1606" s="915" t="s">
        <v>513</v>
      </c>
      <c r="G1606" s="936" t="s">
        <v>588</v>
      </c>
      <c r="H1606" s="919" t="s">
        <v>1376</v>
      </c>
      <c r="I1606" s="254">
        <v>410</v>
      </c>
      <c r="J1606" s="254">
        <v>5714.0748008964019</v>
      </c>
      <c r="K1606" s="916">
        <f t="shared" si="230"/>
        <v>2342771</v>
      </c>
      <c r="L1606" s="896" t="s">
        <v>169</v>
      </c>
      <c r="M1606" s="935" t="s">
        <v>167</v>
      </c>
      <c r="N1606" s="52" t="str">
        <f>IF(AND('331-CT'!$E$7=TH!H1606,OR(L1606="331",M1606="331")),"331",IF(AND(OR(L1606="131",M1606="131"),H1606='131-CT'!$E$7),"131",""))</f>
        <v/>
      </c>
      <c r="O1606" s="89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>x</v>
      </c>
      <c r="AB1606" s="854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228"/>
        <v>7</v>
      </c>
      <c r="C1607" s="48">
        <f t="shared" si="229"/>
        <v>41837</v>
      </c>
      <c r="D1607" s="914" t="s">
        <v>1383</v>
      </c>
      <c r="E1607" s="914">
        <v>41837</v>
      </c>
      <c r="F1607" s="915" t="s">
        <v>484</v>
      </c>
      <c r="G1607" s="936" t="s">
        <v>588</v>
      </c>
      <c r="H1607" s="919" t="s">
        <v>1376</v>
      </c>
      <c r="I1607" s="254">
        <v>280</v>
      </c>
      <c r="J1607" s="254">
        <v>10938.371761715971</v>
      </c>
      <c r="K1607" s="916">
        <f t="shared" si="230"/>
        <v>3062744</v>
      </c>
      <c r="L1607" s="896" t="s">
        <v>169</v>
      </c>
      <c r="M1607" s="935" t="s">
        <v>167</v>
      </c>
      <c r="N1607" s="52" t="str">
        <f>IF(AND('331-CT'!$E$7=TH!H1607,OR(L1607="331",M1607="331")),"331",IF(AND(OR(L1607="131",M1607="131"),H1607='131-CT'!$E$7),"131",""))</f>
        <v/>
      </c>
      <c r="O1607" s="89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>x</v>
      </c>
      <c r="AB1607" s="854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228"/>
        <v>7</v>
      </c>
      <c r="C1608" s="48">
        <f t="shared" si="229"/>
        <v>41842</v>
      </c>
      <c r="D1608" s="914" t="s">
        <v>1383</v>
      </c>
      <c r="E1608" s="914">
        <v>41842</v>
      </c>
      <c r="F1608" s="915" t="s">
        <v>422</v>
      </c>
      <c r="G1608" s="936" t="s">
        <v>589</v>
      </c>
      <c r="H1608" s="919" t="s">
        <v>1376</v>
      </c>
      <c r="I1608" s="254">
        <v>513</v>
      </c>
      <c r="J1608" s="254">
        <v>11836.297801856834</v>
      </c>
      <c r="K1608" s="916">
        <f t="shared" si="230"/>
        <v>6072021</v>
      </c>
      <c r="L1608" s="896" t="s">
        <v>169</v>
      </c>
      <c r="M1608" s="935" t="s">
        <v>167</v>
      </c>
      <c r="N1608" s="52" t="str">
        <f>IF(AND('331-CT'!$E$7=TH!H1608,OR(L1608="331",M1608="331")),"331",IF(AND(OR(L1608="131",M1608="131"),H1608='131-CT'!$E$7),"131",""))</f>
        <v/>
      </c>
      <c r="O1608" s="89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>x</v>
      </c>
      <c r="AB1608" s="854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228"/>
        <v>7</v>
      </c>
      <c r="C1609" s="48">
        <f t="shared" si="229"/>
        <v>41842</v>
      </c>
      <c r="D1609" s="914" t="s">
        <v>1383</v>
      </c>
      <c r="E1609" s="914">
        <v>41842</v>
      </c>
      <c r="F1609" s="915" t="s">
        <v>446</v>
      </c>
      <c r="G1609" s="936" t="s">
        <v>589</v>
      </c>
      <c r="H1609" s="919" t="s">
        <v>1376</v>
      </c>
      <c r="I1609" s="254">
        <v>1026</v>
      </c>
      <c r="J1609" s="254">
        <v>816.29640012805748</v>
      </c>
      <c r="K1609" s="916">
        <f t="shared" si="230"/>
        <v>837520</v>
      </c>
      <c r="L1609" s="896" t="s">
        <v>169</v>
      </c>
      <c r="M1609" s="935" t="s">
        <v>167</v>
      </c>
      <c r="N1609" s="52" t="str">
        <f>IF(AND('331-CT'!$E$7=TH!H1609,OR(L1609="331",M1609="331")),"331",IF(AND(OR(L1609="131",M1609="131"),H1609='131-CT'!$E$7),"131",""))</f>
        <v/>
      </c>
      <c r="O1609" s="89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>x</v>
      </c>
      <c r="AB1609" s="854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228"/>
        <v>7</v>
      </c>
      <c r="C1610" s="48">
        <f t="shared" si="229"/>
        <v>41842</v>
      </c>
      <c r="D1610" s="914" t="s">
        <v>1383</v>
      </c>
      <c r="E1610" s="914">
        <v>41842</v>
      </c>
      <c r="F1610" s="915" t="s">
        <v>481</v>
      </c>
      <c r="G1610" s="936" t="s">
        <v>590</v>
      </c>
      <c r="H1610" s="919" t="s">
        <v>1376</v>
      </c>
      <c r="I1610" s="254">
        <v>1600</v>
      </c>
      <c r="J1610" s="254">
        <v>5632.4451608835961</v>
      </c>
      <c r="K1610" s="916">
        <f t="shared" si="230"/>
        <v>9011912</v>
      </c>
      <c r="L1610" s="896" t="s">
        <v>169</v>
      </c>
      <c r="M1610" s="935" t="s">
        <v>167</v>
      </c>
      <c r="N1610" s="52" t="str">
        <f>IF(AND('331-CT'!$E$7=TH!H1610,OR(L1610="331",M1610="331")),"331",IF(AND(OR(L1610="131",M1610="131"),H1610='131-CT'!$E$7),"131",""))</f>
        <v/>
      </c>
      <c r="O1610" s="89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>x</v>
      </c>
      <c r="AB1610" s="854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228"/>
        <v>7</v>
      </c>
      <c r="C1611" s="48">
        <f t="shared" si="229"/>
        <v>41843</v>
      </c>
      <c r="D1611" s="914" t="s">
        <v>1383</v>
      </c>
      <c r="E1611" s="914">
        <v>41843</v>
      </c>
      <c r="F1611" s="915" t="s">
        <v>501</v>
      </c>
      <c r="G1611" s="936" t="s">
        <v>591</v>
      </c>
      <c r="H1611" s="919" t="s">
        <v>1376</v>
      </c>
      <c r="I1611" s="254">
        <v>563</v>
      </c>
      <c r="J1611" s="254">
        <v>6856.8897610756831</v>
      </c>
      <c r="K1611" s="916">
        <f t="shared" si="230"/>
        <v>3860429</v>
      </c>
      <c r="L1611" s="896" t="s">
        <v>169</v>
      </c>
      <c r="M1611" s="935" t="s">
        <v>167</v>
      </c>
      <c r="N1611" s="52" t="str">
        <f>IF(AND('331-CT'!$E$7=TH!H1611,OR(L1611="331",M1611="331")),"331",IF(AND(OR(L1611="131",M1611="131"),H1611='131-CT'!$E$7),"131",""))</f>
        <v/>
      </c>
      <c r="O1611" s="89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>x</v>
      </c>
      <c r="AB1611" s="854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228"/>
        <v>7</v>
      </c>
      <c r="C1612" s="48">
        <f t="shared" si="229"/>
        <v>41843</v>
      </c>
      <c r="D1612" s="914" t="s">
        <v>1383</v>
      </c>
      <c r="E1612" s="914">
        <v>41843</v>
      </c>
      <c r="F1612" s="915" t="s">
        <v>504</v>
      </c>
      <c r="G1612" s="936" t="s">
        <v>591</v>
      </c>
      <c r="H1612" s="919" t="s">
        <v>1376</v>
      </c>
      <c r="I1612" s="254">
        <v>212</v>
      </c>
      <c r="J1612" s="254">
        <v>7346.6676011525178</v>
      </c>
      <c r="K1612" s="916">
        <f t="shared" si="230"/>
        <v>1557494</v>
      </c>
      <c r="L1612" s="896" t="s">
        <v>169</v>
      </c>
      <c r="M1612" s="935" t="s">
        <v>167</v>
      </c>
      <c r="N1612" s="52" t="str">
        <f>IF(AND('331-CT'!$E$7=TH!H1612,OR(L1612="331",M1612="331")),"331",IF(AND(OR(L1612="131",M1612="131"),H1612='131-CT'!$E$7),"131",""))</f>
        <v/>
      </c>
      <c r="O1612" s="89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>x</v>
      </c>
      <c r="AB1612" s="854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228"/>
        <v>7</v>
      </c>
      <c r="C1613" s="48">
        <f t="shared" si="229"/>
        <v>41843</v>
      </c>
      <c r="D1613" s="914" t="s">
        <v>1383</v>
      </c>
      <c r="E1613" s="914">
        <v>41843</v>
      </c>
      <c r="F1613" s="915" t="s">
        <v>406</v>
      </c>
      <c r="G1613" s="936" t="s">
        <v>591</v>
      </c>
      <c r="H1613" s="919" t="s">
        <v>1376</v>
      </c>
      <c r="I1613" s="254">
        <v>197</v>
      </c>
      <c r="J1613" s="254">
        <v>8081.3343612677691</v>
      </c>
      <c r="K1613" s="916">
        <f t="shared" si="230"/>
        <v>1592023</v>
      </c>
      <c r="L1613" s="896" t="s">
        <v>169</v>
      </c>
      <c r="M1613" s="935" t="s">
        <v>167</v>
      </c>
      <c r="N1613" s="52" t="str">
        <f>IF(AND('331-CT'!$E$7=TH!H1613,OR(L1613="331",M1613="331")),"331",IF(AND(OR(L1613="131",M1613="131"),H1613='131-CT'!$E$7),"131",""))</f>
        <v/>
      </c>
      <c r="O1613" s="89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>x</v>
      </c>
      <c r="AB1613" s="854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228"/>
        <v>7</v>
      </c>
      <c r="C1614" s="48">
        <f t="shared" si="229"/>
        <v>41843</v>
      </c>
      <c r="D1614" s="914" t="s">
        <v>1383</v>
      </c>
      <c r="E1614" s="914">
        <v>41843</v>
      </c>
      <c r="F1614" s="915" t="s">
        <v>505</v>
      </c>
      <c r="G1614" s="936" t="s">
        <v>591</v>
      </c>
      <c r="H1614" s="919" t="s">
        <v>1376</v>
      </c>
      <c r="I1614" s="254">
        <v>216</v>
      </c>
      <c r="J1614" s="254">
        <v>7754.8158012165459</v>
      </c>
      <c r="K1614" s="916">
        <f t="shared" si="230"/>
        <v>1675040</v>
      </c>
      <c r="L1614" s="896" t="s">
        <v>169</v>
      </c>
      <c r="M1614" s="935" t="s">
        <v>167</v>
      </c>
      <c r="N1614" s="52" t="str">
        <f>IF(AND('331-CT'!$E$7=TH!H1614,OR(L1614="331",M1614="331")),"331",IF(AND(OR(L1614="131",M1614="131"),H1614='131-CT'!$E$7),"131",""))</f>
        <v/>
      </c>
      <c r="O1614" s="89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>x</v>
      </c>
      <c r="AB1614" s="854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228"/>
        <v>7</v>
      </c>
      <c r="C1615" s="48">
        <f t="shared" si="229"/>
        <v>41843</v>
      </c>
      <c r="D1615" s="914" t="s">
        <v>1383</v>
      </c>
      <c r="E1615" s="914">
        <v>41843</v>
      </c>
      <c r="F1615" s="915" t="s">
        <v>592</v>
      </c>
      <c r="G1615" s="936" t="s">
        <v>593</v>
      </c>
      <c r="H1615" s="919" t="s">
        <v>1376</v>
      </c>
      <c r="I1615" s="254">
        <v>413</v>
      </c>
      <c r="J1615" s="254">
        <v>17305.483682714821</v>
      </c>
      <c r="K1615" s="916">
        <f t="shared" si="230"/>
        <v>7147165</v>
      </c>
      <c r="L1615" s="896" t="s">
        <v>169</v>
      </c>
      <c r="M1615" s="935" t="s">
        <v>167</v>
      </c>
      <c r="N1615" s="52" t="str">
        <f>IF(AND('331-CT'!$E$7=TH!H1615,OR(L1615="331",M1615="331")),"331",IF(AND(OR(L1615="131",M1615="131"),H1615='131-CT'!$E$7),"131",""))</f>
        <v/>
      </c>
      <c r="O1615" s="89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>x</v>
      </c>
      <c r="AB1615" s="854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228"/>
        <v>7</v>
      </c>
      <c r="C1616" s="48">
        <f t="shared" si="229"/>
        <v>41843</v>
      </c>
      <c r="D1616" s="914" t="s">
        <v>1383</v>
      </c>
      <c r="E1616" s="914">
        <v>41843</v>
      </c>
      <c r="F1616" s="915" t="s">
        <v>594</v>
      </c>
      <c r="G1616" s="936" t="s">
        <v>595</v>
      </c>
      <c r="H1616" s="919" t="s">
        <v>1376</v>
      </c>
      <c r="I1616" s="254">
        <v>190</v>
      </c>
      <c r="J1616" s="254">
        <v>24407.262363828919</v>
      </c>
      <c r="K1616" s="916">
        <f t="shared" si="230"/>
        <v>4637380</v>
      </c>
      <c r="L1616" s="896" t="s">
        <v>169</v>
      </c>
      <c r="M1616" s="935" t="s">
        <v>167</v>
      </c>
      <c r="N1616" s="52" t="str">
        <f>IF(AND('331-CT'!$E$7=TH!H1616,OR(L1616="331",M1616="331")),"331",IF(AND(OR(L1616="131",M1616="131"),H1616='131-CT'!$E$7),"131",""))</f>
        <v/>
      </c>
      <c r="O1616" s="89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>x</v>
      </c>
      <c r="AB1616" s="854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228"/>
        <v>7</v>
      </c>
      <c r="C1617" s="48">
        <f t="shared" si="229"/>
        <v>41843</v>
      </c>
      <c r="D1617" s="914" t="s">
        <v>1383</v>
      </c>
      <c r="E1617" s="914">
        <v>41843</v>
      </c>
      <c r="F1617" s="915" t="s">
        <v>596</v>
      </c>
      <c r="G1617" s="936" t="s">
        <v>597</v>
      </c>
      <c r="H1617" s="919" t="s">
        <v>1376</v>
      </c>
      <c r="I1617" s="254">
        <v>202</v>
      </c>
      <c r="J1617" s="254">
        <v>7428.2972411653236</v>
      </c>
      <c r="K1617" s="916">
        <f t="shared" si="230"/>
        <v>1500516</v>
      </c>
      <c r="L1617" s="896" t="s">
        <v>169</v>
      </c>
      <c r="M1617" s="935" t="s">
        <v>167</v>
      </c>
      <c r="N1617" s="52" t="str">
        <f>IF(AND('331-CT'!$E$7=TH!H1617,OR(L1617="331",M1617="331")),"331",IF(AND(OR(L1617="131",M1617="131"),H1617='131-CT'!$E$7),"131",""))</f>
        <v/>
      </c>
      <c r="O1617" s="89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>x</v>
      </c>
      <c r="AB1617" s="854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228"/>
        <v>7</v>
      </c>
      <c r="C1618" s="48">
        <f t="shared" si="229"/>
        <v>41843</v>
      </c>
      <c r="D1618" s="914" t="s">
        <v>1383</v>
      </c>
      <c r="E1618" s="914">
        <v>41843</v>
      </c>
      <c r="F1618" s="915" t="s">
        <v>598</v>
      </c>
      <c r="G1618" s="936" t="s">
        <v>597</v>
      </c>
      <c r="H1618" s="919" t="s">
        <v>1376</v>
      </c>
      <c r="I1618" s="254">
        <v>103</v>
      </c>
      <c r="J1618" s="254">
        <v>16652.446562612375</v>
      </c>
      <c r="K1618" s="916">
        <f t="shared" si="230"/>
        <v>1715202</v>
      </c>
      <c r="L1618" s="896" t="s">
        <v>169</v>
      </c>
      <c r="M1618" s="935" t="s">
        <v>167</v>
      </c>
      <c r="N1618" s="52" t="str">
        <f>IF(AND('331-CT'!$E$7=TH!H1618,OR(L1618="331",M1618="331")),"331",IF(AND(OR(L1618="131",M1618="131"),H1618='131-CT'!$E$7),"131",""))</f>
        <v/>
      </c>
      <c r="O1618" s="89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>x</v>
      </c>
      <c r="AB1618" s="854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228"/>
        <v>7</v>
      </c>
      <c r="C1619" s="48">
        <f t="shared" si="229"/>
        <v>41845</v>
      </c>
      <c r="D1619" s="914" t="s">
        <v>1383</v>
      </c>
      <c r="E1619" s="914">
        <v>41845</v>
      </c>
      <c r="F1619" s="915" t="s">
        <v>599</v>
      </c>
      <c r="G1619" s="936" t="s">
        <v>600</v>
      </c>
      <c r="H1619" s="919" t="s">
        <v>1376</v>
      </c>
      <c r="I1619" s="254">
        <v>100</v>
      </c>
      <c r="J1619" s="254">
        <v>5469.1858808579855</v>
      </c>
      <c r="K1619" s="916">
        <f t="shared" si="230"/>
        <v>546919</v>
      </c>
      <c r="L1619" s="896" t="s">
        <v>169</v>
      </c>
      <c r="M1619" s="935" t="s">
        <v>167</v>
      </c>
      <c r="N1619" s="52" t="str">
        <f>IF(AND('331-CT'!$E$7=TH!H1619,OR(L1619="331",M1619="331")),"331",IF(AND(OR(L1619="131",M1619="131"),H1619='131-CT'!$E$7),"131",""))</f>
        <v/>
      </c>
      <c r="O1619" s="89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>x</v>
      </c>
      <c r="AB1619" s="854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228"/>
        <v>7</v>
      </c>
      <c r="C1620" s="48">
        <f t="shared" si="229"/>
        <v>41845</v>
      </c>
      <c r="D1620" s="914" t="s">
        <v>1383</v>
      </c>
      <c r="E1620" s="914">
        <v>41845</v>
      </c>
      <c r="F1620" s="915" t="s">
        <v>601</v>
      </c>
      <c r="G1620" s="936" t="s">
        <v>602</v>
      </c>
      <c r="H1620" s="919" t="s">
        <v>1376</v>
      </c>
      <c r="I1620" s="254">
        <v>371</v>
      </c>
      <c r="J1620" s="254">
        <v>10366.964281626329</v>
      </c>
      <c r="K1620" s="916">
        <f t="shared" si="230"/>
        <v>3846144</v>
      </c>
      <c r="L1620" s="896" t="s">
        <v>169</v>
      </c>
      <c r="M1620" s="935" t="s">
        <v>167</v>
      </c>
      <c r="N1620" s="52" t="str">
        <f>IF(AND('331-CT'!$E$7=TH!H1620,OR(L1620="331",M1620="331")),"331",IF(AND(OR(L1620="131",M1620="131"),H1620='131-CT'!$E$7),"131",""))</f>
        <v/>
      </c>
      <c r="O1620" s="89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>x</v>
      </c>
      <c r="AB1620" s="854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228"/>
        <v>7</v>
      </c>
      <c r="C1621" s="48">
        <f t="shared" si="229"/>
        <v>41845</v>
      </c>
      <c r="D1621" s="914" t="s">
        <v>1383</v>
      </c>
      <c r="E1621" s="914">
        <v>41845</v>
      </c>
      <c r="F1621" s="915" t="s">
        <v>604</v>
      </c>
      <c r="G1621" s="936" t="s">
        <v>602</v>
      </c>
      <c r="H1621" s="919" t="s">
        <v>1376</v>
      </c>
      <c r="I1621" s="254">
        <v>156</v>
      </c>
      <c r="J1621" s="254">
        <v>9469.0382414854666</v>
      </c>
      <c r="K1621" s="916">
        <f t="shared" si="230"/>
        <v>1477170</v>
      </c>
      <c r="L1621" s="896" t="s">
        <v>169</v>
      </c>
      <c r="M1621" s="935" t="s">
        <v>167</v>
      </c>
      <c r="N1621" s="52" t="str">
        <f>IF(AND('331-CT'!$E$7=TH!H1621,OR(L1621="331",M1621="331")),"331",IF(AND(OR(L1621="131",M1621="131"),H1621='131-CT'!$E$7),"131",""))</f>
        <v/>
      </c>
      <c r="O1621" s="89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>x</v>
      </c>
      <c r="AB1621" s="854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228"/>
        <v>7</v>
      </c>
      <c r="C1622" s="48">
        <f t="shared" si="229"/>
        <v>41845</v>
      </c>
      <c r="D1622" s="914" t="s">
        <v>1383</v>
      </c>
      <c r="E1622" s="914">
        <v>41845</v>
      </c>
      <c r="F1622" s="915" t="s">
        <v>624</v>
      </c>
      <c r="G1622" s="936" t="s">
        <v>602</v>
      </c>
      <c r="H1622" s="919" t="s">
        <v>1376</v>
      </c>
      <c r="I1622" s="254">
        <v>1400</v>
      </c>
      <c r="J1622" s="254">
        <v>489.77784007683448</v>
      </c>
      <c r="K1622" s="916">
        <f t="shared" si="230"/>
        <v>685689</v>
      </c>
      <c r="L1622" s="896" t="s">
        <v>169</v>
      </c>
      <c r="M1622" s="935" t="s">
        <v>167</v>
      </c>
      <c r="N1622" s="52" t="str">
        <f>IF(AND('331-CT'!$E$7=TH!H1622,OR(L1622="331",M1622="331")),"331",IF(AND(OR(L1622="131",M1622="131"),H1622='131-CT'!$E$7),"131",""))</f>
        <v/>
      </c>
      <c r="O1622" s="89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>x</v>
      </c>
      <c r="AB1622" s="854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228"/>
        <v>7</v>
      </c>
      <c r="C1623" s="48">
        <f t="shared" si="229"/>
        <v>41845</v>
      </c>
      <c r="D1623" s="914" t="s">
        <v>1383</v>
      </c>
      <c r="E1623" s="914">
        <v>41845</v>
      </c>
      <c r="F1623" s="915" t="s">
        <v>605</v>
      </c>
      <c r="G1623" s="936" t="s">
        <v>606</v>
      </c>
      <c r="H1623" s="919" t="s">
        <v>1376</v>
      </c>
      <c r="I1623" s="254">
        <v>97</v>
      </c>
      <c r="J1623" s="254">
        <v>8734.3714813702154</v>
      </c>
      <c r="K1623" s="916">
        <f t="shared" si="230"/>
        <v>847234</v>
      </c>
      <c r="L1623" s="896" t="s">
        <v>169</v>
      </c>
      <c r="M1623" s="935" t="s">
        <v>167</v>
      </c>
      <c r="N1623" s="52" t="str">
        <f>IF(AND('331-CT'!$E$7=TH!H1623,OR(L1623="331",M1623="331")),"331",IF(AND(OR(L1623="131",M1623="131"),H1623='131-CT'!$E$7),"131",""))</f>
        <v/>
      </c>
      <c r="O1623" s="89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>x</v>
      </c>
      <c r="AB1623" s="854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228"/>
        <v>7</v>
      </c>
      <c r="C1624" s="48">
        <f t="shared" si="229"/>
        <v>41849</v>
      </c>
      <c r="D1624" s="914" t="s">
        <v>1383</v>
      </c>
      <c r="E1624" s="914">
        <v>41849</v>
      </c>
      <c r="F1624" s="915" t="s">
        <v>607</v>
      </c>
      <c r="G1624" s="936" t="s">
        <v>608</v>
      </c>
      <c r="H1624" s="919" t="s">
        <v>1376</v>
      </c>
      <c r="I1624" s="254">
        <v>1920</v>
      </c>
      <c r="J1624" s="254">
        <v>9713.9271615238831</v>
      </c>
      <c r="K1624" s="916">
        <f t="shared" si="230"/>
        <v>18650740</v>
      </c>
      <c r="L1624" s="896" t="s">
        <v>169</v>
      </c>
      <c r="M1624" s="935" t="s">
        <v>167</v>
      </c>
      <c r="N1624" s="52" t="str">
        <f>IF(AND('331-CT'!$E$7=TH!H1624,OR(L1624="331",M1624="331")),"331",IF(AND(OR(L1624="131",M1624="131"),H1624='131-CT'!$E$7),"131",""))</f>
        <v/>
      </c>
      <c r="O1624" s="89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>x</v>
      </c>
      <c r="AB1624" s="854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228"/>
        <v>7</v>
      </c>
      <c r="C1625" s="48">
        <f t="shared" si="229"/>
        <v>41849</v>
      </c>
      <c r="D1625" s="914" t="s">
        <v>1383</v>
      </c>
      <c r="E1625" s="914">
        <v>41849</v>
      </c>
      <c r="F1625" s="915" t="s">
        <v>609</v>
      </c>
      <c r="G1625" s="936" t="s">
        <v>608</v>
      </c>
      <c r="H1625" s="919" t="s">
        <v>1376</v>
      </c>
      <c r="I1625" s="254">
        <v>560</v>
      </c>
      <c r="J1625" s="254">
        <v>12570.964561972085</v>
      </c>
      <c r="K1625" s="916">
        <f t="shared" si="230"/>
        <v>7039740</v>
      </c>
      <c r="L1625" s="896" t="s">
        <v>169</v>
      </c>
      <c r="M1625" s="935" t="s">
        <v>167</v>
      </c>
      <c r="N1625" s="52" t="str">
        <f>IF(AND('331-CT'!$E$7=TH!H1625,OR(L1625="331",M1625="331")),"331",IF(AND(OR(L1625="131",M1625="131"),H1625='131-CT'!$E$7),"131",""))</f>
        <v/>
      </c>
      <c r="O1625" s="89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>x</v>
      </c>
      <c r="AB1625" s="854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228"/>
        <v>7</v>
      </c>
      <c r="C1626" s="48">
        <f t="shared" si="229"/>
        <v>41849</v>
      </c>
      <c r="D1626" s="914" t="s">
        <v>1383</v>
      </c>
      <c r="E1626" s="914">
        <v>41849</v>
      </c>
      <c r="F1626" s="915" t="s">
        <v>567</v>
      </c>
      <c r="G1626" s="936" t="s">
        <v>610</v>
      </c>
      <c r="H1626" s="919" t="s">
        <v>1376</v>
      </c>
      <c r="I1626" s="254">
        <v>515</v>
      </c>
      <c r="J1626" s="254">
        <v>7918.0750812421575</v>
      </c>
      <c r="K1626" s="916">
        <f t="shared" si="230"/>
        <v>4077809</v>
      </c>
      <c r="L1626" s="896" t="s">
        <v>169</v>
      </c>
      <c r="M1626" s="935" t="s">
        <v>167</v>
      </c>
      <c r="N1626" s="52" t="str">
        <f>IF(AND('331-CT'!$E$7=TH!H1626,OR(L1626="331",M1626="331")),"331",IF(AND(OR(L1626="131",M1626="131"),H1626='131-CT'!$E$7),"131",""))</f>
        <v/>
      </c>
      <c r="O1626" s="89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>x</v>
      </c>
      <c r="AB1626" s="854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228"/>
        <v>7</v>
      </c>
      <c r="C1627" s="48">
        <f t="shared" si="229"/>
        <v>41849</v>
      </c>
      <c r="D1627" s="914" t="s">
        <v>1383</v>
      </c>
      <c r="E1627" s="914">
        <v>41849</v>
      </c>
      <c r="F1627" s="915" t="s">
        <v>611</v>
      </c>
      <c r="G1627" s="936" t="s">
        <v>610</v>
      </c>
      <c r="H1627" s="919" t="s">
        <v>1376</v>
      </c>
      <c r="I1627" s="254">
        <v>500</v>
      </c>
      <c r="J1627" s="254">
        <v>5061.0376807939565</v>
      </c>
      <c r="K1627" s="916">
        <f t="shared" si="230"/>
        <v>2530519</v>
      </c>
      <c r="L1627" s="896" t="s">
        <v>169</v>
      </c>
      <c r="M1627" s="935" t="s">
        <v>167</v>
      </c>
      <c r="N1627" s="52" t="str">
        <f>IF(AND('331-CT'!$E$7=TH!H1627,OR(L1627="331",M1627="331")),"331",IF(AND(OR(L1627="131",M1627="131"),H1627='131-CT'!$E$7),"131",""))</f>
        <v/>
      </c>
      <c r="O1627" s="89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>x</v>
      </c>
      <c r="AB1627" s="854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228"/>
        <v>7</v>
      </c>
      <c r="C1628" s="48">
        <f t="shared" si="229"/>
        <v>41850</v>
      </c>
      <c r="D1628" s="914" t="s">
        <v>1383</v>
      </c>
      <c r="E1628" s="914">
        <v>41850</v>
      </c>
      <c r="F1628" s="915" t="s">
        <v>418</v>
      </c>
      <c r="G1628" s="936" t="s">
        <v>612</v>
      </c>
      <c r="H1628" s="919" t="s">
        <v>1376</v>
      </c>
      <c r="I1628" s="254">
        <v>2554</v>
      </c>
      <c r="J1628" s="254">
        <v>5469.1858808579855</v>
      </c>
      <c r="K1628" s="916">
        <f t="shared" si="230"/>
        <v>13968301</v>
      </c>
      <c r="L1628" s="896" t="s">
        <v>169</v>
      </c>
      <c r="M1628" s="935" t="s">
        <v>167</v>
      </c>
      <c r="N1628" s="52" t="str">
        <f>IF(AND('331-CT'!$E$7=TH!H1628,OR(L1628="331",M1628="331")),"331",IF(AND(OR(L1628="131",M1628="131"),H1628='131-CT'!$E$7),"131",""))</f>
        <v/>
      </c>
      <c r="O1628" s="89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>x</v>
      </c>
      <c r="AB1628" s="854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228"/>
        <v>7</v>
      </c>
      <c r="C1629" s="48">
        <f t="shared" si="229"/>
        <v>41850</v>
      </c>
      <c r="D1629" s="914" t="s">
        <v>1383</v>
      </c>
      <c r="E1629" s="914">
        <v>41850</v>
      </c>
      <c r="F1629" s="915" t="s">
        <v>613</v>
      </c>
      <c r="G1629" s="936" t="s">
        <v>612</v>
      </c>
      <c r="H1629" s="919" t="s">
        <v>1376</v>
      </c>
      <c r="I1629" s="254">
        <v>330</v>
      </c>
      <c r="J1629" s="254">
        <v>4326.3709206787053</v>
      </c>
      <c r="K1629" s="916">
        <f t="shared" si="230"/>
        <v>1427702</v>
      </c>
      <c r="L1629" s="896" t="s">
        <v>169</v>
      </c>
      <c r="M1629" s="935" t="s">
        <v>167</v>
      </c>
      <c r="N1629" s="52" t="str">
        <f>IF(AND('331-CT'!$E$7=TH!H1629,OR(L1629="331",M1629="331")),"331",IF(AND(OR(L1629="131",M1629="131"),H1629='131-CT'!$E$7),"131",""))</f>
        <v/>
      </c>
      <c r="O1629" s="89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>x</v>
      </c>
      <c r="AB1629" s="854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228"/>
        <v>8</v>
      </c>
      <c r="C1630" s="48">
        <f t="shared" si="229"/>
        <v>41857</v>
      </c>
      <c r="D1630" s="914" t="s">
        <v>1383</v>
      </c>
      <c r="E1630" s="914">
        <v>41857</v>
      </c>
      <c r="F1630" s="915" t="s">
        <v>422</v>
      </c>
      <c r="G1630" s="936" t="s">
        <v>614</v>
      </c>
      <c r="H1630" s="919" t="s">
        <v>1376</v>
      </c>
      <c r="I1630" s="254">
        <v>500</v>
      </c>
      <c r="J1630" s="254">
        <v>11836.297801856834</v>
      </c>
      <c r="K1630" s="916">
        <f t="shared" si="230"/>
        <v>5918149</v>
      </c>
      <c r="L1630" s="896" t="s">
        <v>169</v>
      </c>
      <c r="M1630" s="935" t="s">
        <v>167</v>
      </c>
      <c r="N1630" s="52" t="str">
        <f>IF(AND('331-CT'!$E$7=TH!H1630,OR(L1630="331",M1630="331")),"331",IF(AND(OR(L1630="131",M1630="131"),H1630='131-CT'!$E$7),"131",""))</f>
        <v/>
      </c>
      <c r="O1630" s="89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>x</v>
      </c>
      <c r="AB1630" s="854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228"/>
        <v>8</v>
      </c>
      <c r="C1631" s="48">
        <f t="shared" si="229"/>
        <v>41858</v>
      </c>
      <c r="D1631" s="914" t="s">
        <v>1383</v>
      </c>
      <c r="E1631" s="914">
        <v>41858</v>
      </c>
      <c r="F1631" s="915" t="s">
        <v>446</v>
      </c>
      <c r="G1631" s="936" t="s">
        <v>614</v>
      </c>
      <c r="H1631" s="919" t="s">
        <v>1376</v>
      </c>
      <c r="I1631" s="254">
        <v>1000</v>
      </c>
      <c r="J1631" s="254">
        <v>816.29640012805748</v>
      </c>
      <c r="K1631" s="916">
        <f t="shared" si="230"/>
        <v>816296</v>
      </c>
      <c r="L1631" s="896" t="s">
        <v>169</v>
      </c>
      <c r="M1631" s="935" t="s">
        <v>167</v>
      </c>
      <c r="N1631" s="52" t="str">
        <f>IF(AND('331-CT'!$E$7=TH!H1631,OR(L1631="331",M1631="331")),"331",IF(AND(OR(L1631="131",M1631="131"),H1631='131-CT'!$E$7),"131",""))</f>
        <v/>
      </c>
      <c r="O1631" s="89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>x</v>
      </c>
      <c r="AB1631" s="854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228"/>
        <v>8</v>
      </c>
      <c r="C1632" s="48">
        <f t="shared" si="229"/>
        <v>41859</v>
      </c>
      <c r="D1632" s="914" t="s">
        <v>1383</v>
      </c>
      <c r="E1632" s="914">
        <v>41859</v>
      </c>
      <c r="F1632" s="915" t="s">
        <v>495</v>
      </c>
      <c r="G1632" s="936" t="s">
        <v>615</v>
      </c>
      <c r="H1632" s="919" t="s">
        <v>1376</v>
      </c>
      <c r="I1632" s="254">
        <v>300</v>
      </c>
      <c r="J1632" s="254">
        <v>7101.7786811141004</v>
      </c>
      <c r="K1632" s="916">
        <f t="shared" si="230"/>
        <v>2130534</v>
      </c>
      <c r="L1632" s="896" t="s">
        <v>169</v>
      </c>
      <c r="M1632" s="935" t="s">
        <v>167</v>
      </c>
      <c r="N1632" s="52" t="str">
        <f>IF(AND('331-CT'!$E$7=TH!H1632,OR(L1632="331",M1632="331")),"331",IF(AND(OR(L1632="131",M1632="131"),H1632='131-CT'!$E$7),"131",""))</f>
        <v/>
      </c>
      <c r="O1632" s="89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>x</v>
      </c>
      <c r="AB1632" s="854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228"/>
        <v>8</v>
      </c>
      <c r="C1633" s="48">
        <f t="shared" si="229"/>
        <v>41859</v>
      </c>
      <c r="D1633" s="914" t="s">
        <v>1383</v>
      </c>
      <c r="E1633" s="914">
        <v>41859</v>
      </c>
      <c r="F1633" s="915" t="s">
        <v>616</v>
      </c>
      <c r="G1633" s="936" t="s">
        <v>617</v>
      </c>
      <c r="H1633" s="919" t="s">
        <v>1376</v>
      </c>
      <c r="I1633" s="254">
        <v>393</v>
      </c>
      <c r="J1633" s="254">
        <v>5550.8155208707913</v>
      </c>
      <c r="K1633" s="916">
        <f t="shared" si="230"/>
        <v>2181470</v>
      </c>
      <c r="L1633" s="896" t="s">
        <v>169</v>
      </c>
      <c r="M1633" s="935" t="s">
        <v>167</v>
      </c>
      <c r="N1633" s="52" t="str">
        <f>IF(AND('331-CT'!$E$7=TH!H1633,OR(L1633="331",M1633="331")),"331",IF(AND(OR(L1633="131",M1633="131"),H1633='131-CT'!$E$7),"131",""))</f>
        <v/>
      </c>
      <c r="O1633" s="89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>x</v>
      </c>
      <c r="AB1633" s="854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228"/>
        <v>8</v>
      </c>
      <c r="C1634" s="48">
        <f t="shared" si="229"/>
        <v>41859</v>
      </c>
      <c r="D1634" s="914" t="s">
        <v>1383</v>
      </c>
      <c r="E1634" s="914">
        <v>41859</v>
      </c>
      <c r="F1634" s="915" t="s">
        <v>619</v>
      </c>
      <c r="G1634" s="936" t="s">
        <v>620</v>
      </c>
      <c r="H1634" s="919" t="s">
        <v>1376</v>
      </c>
      <c r="I1634" s="254">
        <v>198</v>
      </c>
      <c r="J1634" s="254">
        <v>14366.816642253812</v>
      </c>
      <c r="K1634" s="916">
        <f t="shared" si="230"/>
        <v>2844630</v>
      </c>
      <c r="L1634" s="896" t="s">
        <v>169</v>
      </c>
      <c r="M1634" s="935" t="s">
        <v>167</v>
      </c>
      <c r="N1634" s="52" t="str">
        <f>IF(AND('331-CT'!$E$7=TH!H1634,OR(L1634="331",M1634="331")),"331",IF(AND(OR(L1634="131",M1634="131"),H1634='131-CT'!$E$7),"131",""))</f>
        <v/>
      </c>
      <c r="O1634" s="89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>x</v>
      </c>
      <c r="AB1634" s="854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228"/>
        <v>8</v>
      </c>
      <c r="C1635" s="48">
        <f t="shared" si="229"/>
        <v>41859</v>
      </c>
      <c r="D1635" s="914" t="s">
        <v>1383</v>
      </c>
      <c r="E1635" s="914">
        <v>41859</v>
      </c>
      <c r="F1635" s="915" t="s">
        <v>621</v>
      </c>
      <c r="G1635" s="936" t="s">
        <v>620</v>
      </c>
      <c r="H1635" s="919" t="s">
        <v>1376</v>
      </c>
      <c r="I1635" s="254">
        <v>996</v>
      </c>
      <c r="J1635" s="254">
        <v>8081.3343612677691</v>
      </c>
      <c r="K1635" s="916">
        <f t="shared" si="230"/>
        <v>8049009</v>
      </c>
      <c r="L1635" s="896" t="s">
        <v>169</v>
      </c>
      <c r="M1635" s="935" t="s">
        <v>167</v>
      </c>
      <c r="N1635" s="52" t="str">
        <f>IF(AND('331-CT'!$E$7=TH!H1635,OR(L1635="331",M1635="331")),"331",IF(AND(OR(L1635="131",M1635="131"),H1635='131-CT'!$E$7),"131",""))</f>
        <v/>
      </c>
      <c r="O1635" s="89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>x</v>
      </c>
      <c r="AB1635" s="854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228"/>
        <v>8</v>
      </c>
      <c r="C1636" s="48">
        <f t="shared" si="229"/>
        <v>41859</v>
      </c>
      <c r="D1636" s="914" t="s">
        <v>1383</v>
      </c>
      <c r="E1636" s="914">
        <v>41859</v>
      </c>
      <c r="F1636" s="915" t="s">
        <v>622</v>
      </c>
      <c r="G1636" s="936" t="s">
        <v>620</v>
      </c>
      <c r="H1636" s="919" t="s">
        <v>1376</v>
      </c>
      <c r="I1636" s="254">
        <v>650</v>
      </c>
      <c r="J1636" s="254">
        <v>13713.779522151366</v>
      </c>
      <c r="K1636" s="916">
        <f t="shared" si="230"/>
        <v>8913957</v>
      </c>
      <c r="L1636" s="896" t="s">
        <v>169</v>
      </c>
      <c r="M1636" s="935" t="s">
        <v>167</v>
      </c>
      <c r="N1636" s="52" t="str">
        <f>IF(AND('331-CT'!$E$7=TH!H1636,OR(L1636="331",M1636="331")),"331",IF(AND(OR(L1636="131",M1636="131"),H1636='131-CT'!$E$7),"131",""))</f>
        <v/>
      </c>
      <c r="O1636" s="89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>x</v>
      </c>
      <c r="AB1636" s="854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228"/>
        <v>8</v>
      </c>
      <c r="C1637" s="48">
        <f t="shared" si="229"/>
        <v>41859</v>
      </c>
      <c r="D1637" s="914" t="s">
        <v>1383</v>
      </c>
      <c r="E1637" s="914">
        <v>41859</v>
      </c>
      <c r="F1637" s="915" t="s">
        <v>623</v>
      </c>
      <c r="G1637" s="936" t="s">
        <v>620</v>
      </c>
      <c r="H1637" s="919" t="s">
        <v>1376</v>
      </c>
      <c r="I1637" s="254">
        <v>1440</v>
      </c>
      <c r="J1637" s="254">
        <v>9224.1493214470484</v>
      </c>
      <c r="K1637" s="916">
        <f t="shared" si="230"/>
        <v>13282775</v>
      </c>
      <c r="L1637" s="896" t="s">
        <v>169</v>
      </c>
      <c r="M1637" s="935" t="s">
        <v>167</v>
      </c>
      <c r="N1637" s="52" t="str">
        <f>IF(AND('331-CT'!$E$7=TH!H1637,OR(L1637="331",M1637="331")),"331",IF(AND(OR(L1637="131",M1637="131"),H1637='131-CT'!$E$7),"131",""))</f>
        <v/>
      </c>
      <c r="O1637" s="89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>x</v>
      </c>
      <c r="AB1637" s="854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228"/>
        <v>8</v>
      </c>
      <c r="C1638" s="48">
        <f t="shared" si="229"/>
        <v>41859</v>
      </c>
      <c r="D1638" s="914" t="s">
        <v>1383</v>
      </c>
      <c r="E1638" s="914">
        <v>41859</v>
      </c>
      <c r="F1638" s="915" t="s">
        <v>601</v>
      </c>
      <c r="G1638" s="936" t="s">
        <v>620</v>
      </c>
      <c r="H1638" s="919" t="s">
        <v>1376</v>
      </c>
      <c r="I1638" s="254">
        <v>160</v>
      </c>
      <c r="J1638" s="254">
        <v>10366.964281626329</v>
      </c>
      <c r="K1638" s="916">
        <f t="shared" si="230"/>
        <v>1658714</v>
      </c>
      <c r="L1638" s="896" t="s">
        <v>169</v>
      </c>
      <c r="M1638" s="935" t="s">
        <v>167</v>
      </c>
      <c r="N1638" s="52" t="str">
        <f>IF(AND('331-CT'!$E$7=TH!H1638,OR(L1638="331",M1638="331")),"331",IF(AND(OR(L1638="131",M1638="131"),H1638='131-CT'!$E$7),"131",""))</f>
        <v/>
      </c>
      <c r="O1638" s="89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>x</v>
      </c>
      <c r="AB1638" s="854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228"/>
        <v>8</v>
      </c>
      <c r="C1639" s="48">
        <f t="shared" si="229"/>
        <v>41859</v>
      </c>
      <c r="D1639" s="914" t="s">
        <v>1383</v>
      </c>
      <c r="E1639" s="914">
        <v>41859</v>
      </c>
      <c r="F1639" s="915" t="s">
        <v>624</v>
      </c>
      <c r="G1639" s="936" t="s">
        <v>620</v>
      </c>
      <c r="H1639" s="919" t="s">
        <v>1376</v>
      </c>
      <c r="I1639" s="254">
        <v>4400</v>
      </c>
      <c r="J1639" s="254">
        <v>489.77784007683448</v>
      </c>
      <c r="K1639" s="916">
        <f t="shared" si="230"/>
        <v>2155022</v>
      </c>
      <c r="L1639" s="896" t="s">
        <v>169</v>
      </c>
      <c r="M1639" s="935" t="s">
        <v>167</v>
      </c>
      <c r="N1639" s="52" t="str">
        <f>IF(AND('331-CT'!$E$7=TH!H1639,OR(L1639="331",M1639="331")),"331",IF(AND(OR(L1639="131",M1639="131"),H1639='131-CT'!$E$7),"131",""))</f>
        <v/>
      </c>
      <c r="O1639" s="89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>x</v>
      </c>
      <c r="AB1639" s="854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228"/>
        <v>8</v>
      </c>
      <c r="C1640" s="48">
        <f t="shared" si="229"/>
        <v>41863</v>
      </c>
      <c r="D1640" s="914" t="s">
        <v>1383</v>
      </c>
      <c r="E1640" s="914">
        <v>41863</v>
      </c>
      <c r="F1640" s="915" t="s">
        <v>460</v>
      </c>
      <c r="G1640" s="936" t="s">
        <v>625</v>
      </c>
      <c r="H1640" s="919" t="s">
        <v>1376</v>
      </c>
      <c r="I1640" s="254">
        <v>1043</v>
      </c>
      <c r="J1640" s="254">
        <v>7509.9268811781294</v>
      </c>
      <c r="K1640" s="916">
        <f t="shared" si="230"/>
        <v>7832854</v>
      </c>
      <c r="L1640" s="896" t="s">
        <v>169</v>
      </c>
      <c r="M1640" s="935" t="s">
        <v>167</v>
      </c>
      <c r="N1640" s="52" t="str">
        <f>IF(AND('331-CT'!$E$7=TH!H1640,OR(L1640="331",M1640="331")),"331",IF(AND(OR(L1640="131",M1640="131"),H1640='131-CT'!$E$7),"131",""))</f>
        <v/>
      </c>
      <c r="O1640" s="89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>x</v>
      </c>
      <c r="AB1640" s="854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ref="B1641:B1649" si="231">IF(C1641&lt;&gt;"",MONTH(C1641),"")</f>
        <v>8</v>
      </c>
      <c r="C1641" s="48">
        <f t="shared" si="229"/>
        <v>41864</v>
      </c>
      <c r="D1641" s="914" t="s">
        <v>1383</v>
      </c>
      <c r="E1641" s="914">
        <v>41864</v>
      </c>
      <c r="F1641" s="915" t="s">
        <v>437</v>
      </c>
      <c r="G1641" s="936" t="s">
        <v>626</v>
      </c>
      <c r="H1641" s="919" t="s">
        <v>1376</v>
      </c>
      <c r="I1641" s="254">
        <v>650</v>
      </c>
      <c r="J1641" s="254">
        <v>7754.8158012165459</v>
      </c>
      <c r="K1641" s="916">
        <f t="shared" si="230"/>
        <v>5040630</v>
      </c>
      <c r="L1641" s="896" t="s">
        <v>169</v>
      </c>
      <c r="M1641" s="935" t="s">
        <v>167</v>
      </c>
      <c r="N1641" s="52" t="str">
        <f>IF(AND('331-CT'!$E$7=TH!H1641,OR(L1641="331",M1641="331")),"331",IF(AND(OR(L1641="131",M1641="131"),H1641='131-CT'!$E$7),"131",""))</f>
        <v/>
      </c>
      <c r="O1641" s="89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>x</v>
      </c>
      <c r="AB1641" s="854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231"/>
        <v>8</v>
      </c>
      <c r="C1642" s="48">
        <f t="shared" si="229"/>
        <v>41865</v>
      </c>
      <c r="D1642" s="914" t="s">
        <v>1383</v>
      </c>
      <c r="E1642" s="914">
        <v>41865</v>
      </c>
      <c r="F1642" s="915" t="s">
        <v>495</v>
      </c>
      <c r="G1642" s="936" t="s">
        <v>627</v>
      </c>
      <c r="H1642" s="919" t="s">
        <v>1376</v>
      </c>
      <c r="I1642" s="254">
        <v>208</v>
      </c>
      <c r="J1642" s="254">
        <v>7101.7786811141004</v>
      </c>
      <c r="K1642" s="916">
        <f t="shared" si="230"/>
        <v>1477170</v>
      </c>
      <c r="L1642" s="896" t="s">
        <v>169</v>
      </c>
      <c r="M1642" s="935" t="s">
        <v>167</v>
      </c>
      <c r="N1642" s="52" t="str">
        <f>IF(AND('331-CT'!$E$7=TH!H1642,OR(L1642="331",M1642="331")),"331",IF(AND(OR(L1642="131",M1642="131"),H1642='131-CT'!$E$7),"131",""))</f>
        <v/>
      </c>
      <c r="O1642" s="89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>x</v>
      </c>
      <c r="AB1642" s="854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231"/>
        <v>8</v>
      </c>
      <c r="C1643" s="48">
        <f t="shared" si="229"/>
        <v>41865</v>
      </c>
      <c r="D1643" s="914" t="s">
        <v>1383</v>
      </c>
      <c r="E1643" s="914">
        <v>41865</v>
      </c>
      <c r="F1643" s="915" t="s">
        <v>513</v>
      </c>
      <c r="G1643" s="936" t="s">
        <v>627</v>
      </c>
      <c r="H1643" s="919" t="s">
        <v>1376</v>
      </c>
      <c r="I1643" s="254">
        <v>320</v>
      </c>
      <c r="J1643" s="254">
        <v>5714.0748008964019</v>
      </c>
      <c r="K1643" s="916">
        <f t="shared" si="230"/>
        <v>1828504</v>
      </c>
      <c r="L1643" s="896" t="s">
        <v>169</v>
      </c>
      <c r="M1643" s="935" t="s">
        <v>167</v>
      </c>
      <c r="N1643" s="52" t="str">
        <f>IF(AND('331-CT'!$E$7=TH!H1643,OR(L1643="331",M1643="331")),"331",IF(AND(OR(L1643="131",M1643="131"),H1643='131-CT'!$E$7),"131",""))</f>
        <v/>
      </c>
      <c r="O1643" s="89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>x</v>
      </c>
      <c r="AB1643" s="854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231"/>
        <v>8</v>
      </c>
      <c r="C1644" s="48">
        <f t="shared" si="229"/>
        <v>41865</v>
      </c>
      <c r="D1644" s="914" t="s">
        <v>1383</v>
      </c>
      <c r="E1644" s="914">
        <v>41865</v>
      </c>
      <c r="F1644" s="915" t="s">
        <v>587</v>
      </c>
      <c r="G1644" s="936" t="s">
        <v>628</v>
      </c>
      <c r="H1644" s="919" t="s">
        <v>1376</v>
      </c>
      <c r="I1644" s="254">
        <v>740</v>
      </c>
      <c r="J1644" s="254">
        <v>10122.075361587913</v>
      </c>
      <c r="K1644" s="916">
        <f t="shared" si="230"/>
        <v>7490336</v>
      </c>
      <c r="L1644" s="896" t="s">
        <v>169</v>
      </c>
      <c r="M1644" s="935" t="s">
        <v>167</v>
      </c>
      <c r="N1644" s="52" t="str">
        <f>IF(AND('331-CT'!$E$7=TH!H1644,OR(L1644="331",M1644="331")),"331",IF(AND(OR(L1644="131",M1644="131"),H1644='131-CT'!$E$7),"131",""))</f>
        <v/>
      </c>
      <c r="O1644" s="89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>x</v>
      </c>
      <c r="AB1644" s="854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231"/>
        <v>8</v>
      </c>
      <c r="C1645" s="48">
        <f t="shared" si="229"/>
        <v>41866</v>
      </c>
      <c r="D1645" s="914" t="s">
        <v>1383</v>
      </c>
      <c r="E1645" s="914">
        <v>41866</v>
      </c>
      <c r="F1645" s="915" t="s">
        <v>629</v>
      </c>
      <c r="G1645" s="936" t="s">
        <v>630</v>
      </c>
      <c r="H1645" s="919" t="s">
        <v>1376</v>
      </c>
      <c r="I1645" s="254">
        <v>100</v>
      </c>
      <c r="J1645" s="254">
        <v>4897.7784007683449</v>
      </c>
      <c r="K1645" s="916">
        <f t="shared" si="230"/>
        <v>489778</v>
      </c>
      <c r="L1645" s="896" t="s">
        <v>169</v>
      </c>
      <c r="M1645" s="935" t="s">
        <v>167</v>
      </c>
      <c r="N1645" s="52" t="str">
        <f>IF(AND('331-CT'!$E$7=TH!H1645,OR(L1645="331",M1645="331")),"331",IF(AND(OR(L1645="131",M1645="131"),H1645='131-CT'!$E$7),"131",""))</f>
        <v/>
      </c>
      <c r="O1645" s="89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>x</v>
      </c>
      <c r="AB1645" s="854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231"/>
        <v>8</v>
      </c>
      <c r="C1646" s="48">
        <f t="shared" si="229"/>
        <v>41866</v>
      </c>
      <c r="D1646" s="914" t="s">
        <v>1383</v>
      </c>
      <c r="E1646" s="914">
        <v>41866</v>
      </c>
      <c r="F1646" s="915" t="s">
        <v>524</v>
      </c>
      <c r="G1646" s="936" t="s">
        <v>630</v>
      </c>
      <c r="H1646" s="919" t="s">
        <v>1376</v>
      </c>
      <c r="I1646" s="254">
        <v>120</v>
      </c>
      <c r="J1646" s="254">
        <v>4979.4080407811507</v>
      </c>
      <c r="K1646" s="916">
        <f t="shared" si="230"/>
        <v>597529</v>
      </c>
      <c r="L1646" s="896" t="s">
        <v>169</v>
      </c>
      <c r="M1646" s="935" t="s">
        <v>167</v>
      </c>
      <c r="N1646" s="52" t="str">
        <f>IF(AND('331-CT'!$E$7=TH!H1646,OR(L1646="331",M1646="331")),"331",IF(AND(OR(L1646="131",M1646="131"),H1646='131-CT'!$E$7),"131",""))</f>
        <v/>
      </c>
      <c r="O1646" s="89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>x</v>
      </c>
      <c r="AB1646" s="854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231"/>
        <v>8</v>
      </c>
      <c r="C1647" s="48">
        <f t="shared" si="229"/>
        <v>41866</v>
      </c>
      <c r="D1647" s="914" t="s">
        <v>1383</v>
      </c>
      <c r="E1647" s="914">
        <v>41866</v>
      </c>
      <c r="F1647" s="915" t="s">
        <v>631</v>
      </c>
      <c r="G1647" s="936" t="s">
        <v>630</v>
      </c>
      <c r="H1647" s="919" t="s">
        <v>1376</v>
      </c>
      <c r="I1647" s="254">
        <v>470</v>
      </c>
      <c r="J1647" s="254">
        <v>3591.7041605634531</v>
      </c>
      <c r="K1647" s="916">
        <f t="shared" si="230"/>
        <v>1688101</v>
      </c>
      <c r="L1647" s="896" t="s">
        <v>169</v>
      </c>
      <c r="M1647" s="935" t="s">
        <v>167</v>
      </c>
      <c r="N1647" s="52" t="str">
        <f>IF(AND('331-CT'!$E$7=TH!H1647,OR(L1647="331",M1647="331")),"331",IF(AND(OR(L1647="131",M1647="131"),H1647='131-CT'!$E$7),"131",""))</f>
        <v/>
      </c>
      <c r="O1647" s="89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>x</v>
      </c>
      <c r="AB1647" s="854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231"/>
        <v>8</v>
      </c>
      <c r="C1648" s="48">
        <f t="shared" si="229"/>
        <v>41866</v>
      </c>
      <c r="D1648" s="914" t="s">
        <v>1383</v>
      </c>
      <c r="E1648" s="914">
        <v>41866</v>
      </c>
      <c r="F1648" s="915" t="s">
        <v>632</v>
      </c>
      <c r="G1648" s="936" t="s">
        <v>630</v>
      </c>
      <c r="H1648" s="919" t="s">
        <v>1376</v>
      </c>
      <c r="I1648" s="254">
        <v>350</v>
      </c>
      <c r="J1648" s="254">
        <v>3836.59308060187</v>
      </c>
      <c r="K1648" s="916">
        <f t="shared" si="230"/>
        <v>1342808</v>
      </c>
      <c r="L1648" s="896" t="s">
        <v>169</v>
      </c>
      <c r="M1648" s="935" t="s">
        <v>167</v>
      </c>
      <c r="N1648" s="52" t="str">
        <f>IF(AND('331-CT'!$E$7=TH!H1648,OR(L1648="331",M1648="331")),"331",IF(AND(OR(L1648="131",M1648="131"),H1648='131-CT'!$E$7),"131",""))</f>
        <v/>
      </c>
      <c r="O1648" s="89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>x</v>
      </c>
      <c r="AB1648" s="854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231"/>
        <v>8</v>
      </c>
      <c r="C1649" s="48">
        <f t="shared" si="229"/>
        <v>41866</v>
      </c>
      <c r="D1649" s="914" t="s">
        <v>1383</v>
      </c>
      <c r="E1649" s="914">
        <v>41866</v>
      </c>
      <c r="F1649" s="915" t="s">
        <v>633</v>
      </c>
      <c r="G1649" s="936" t="s">
        <v>630</v>
      </c>
      <c r="H1649" s="919" t="s">
        <v>1376</v>
      </c>
      <c r="I1649" s="254">
        <v>330</v>
      </c>
      <c r="J1649" s="254">
        <v>6285.4822809860425</v>
      </c>
      <c r="K1649" s="916">
        <f t="shared" si="230"/>
        <v>2074209</v>
      </c>
      <c r="L1649" s="896" t="s">
        <v>169</v>
      </c>
      <c r="M1649" s="935" t="s">
        <v>167</v>
      </c>
      <c r="N1649" s="52" t="str">
        <f>IF(AND('331-CT'!$E$7=TH!H1649,OR(L1649="331",M1649="331")),"331",IF(AND(OR(L1649="131",M1649="131"),H1649='131-CT'!$E$7),"131",""))</f>
        <v/>
      </c>
      <c r="O1649" s="89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>x</v>
      </c>
      <c r="AB1649" s="854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ref="B1650:B1658" si="232">IF(C1650&lt;&gt;"",MONTH(C1650),"")</f>
        <v>8</v>
      </c>
      <c r="C1650" s="48">
        <f t="shared" si="229"/>
        <v>41866</v>
      </c>
      <c r="D1650" s="914" t="s">
        <v>1383</v>
      </c>
      <c r="E1650" s="914">
        <v>41866</v>
      </c>
      <c r="F1650" s="915" t="s">
        <v>424</v>
      </c>
      <c r="G1650" s="936" t="s">
        <v>634</v>
      </c>
      <c r="H1650" s="919" t="s">
        <v>1376</v>
      </c>
      <c r="I1650" s="254">
        <v>488</v>
      </c>
      <c r="J1650" s="254">
        <v>7918.0750812421575</v>
      </c>
      <c r="K1650" s="916">
        <f t="shared" si="230"/>
        <v>3864021</v>
      </c>
      <c r="L1650" s="896" t="s">
        <v>169</v>
      </c>
      <c r="M1650" s="935" t="s">
        <v>167</v>
      </c>
      <c r="N1650" s="52" t="str">
        <f>IF(AND('331-CT'!$E$7=TH!H1650,OR(L1650="331",M1650="331")),"331",IF(AND(OR(L1650="131",M1650="131"),H1650='131-CT'!$E$7),"131",""))</f>
        <v/>
      </c>
      <c r="O1650" s="89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>x</v>
      </c>
      <c r="AB1650" s="854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232"/>
        <v>8</v>
      </c>
      <c r="C1651" s="48">
        <f t="shared" si="229"/>
        <v>41869</v>
      </c>
      <c r="D1651" s="914" t="s">
        <v>1383</v>
      </c>
      <c r="E1651" s="914">
        <v>41869</v>
      </c>
      <c r="F1651" s="915" t="s">
        <v>635</v>
      </c>
      <c r="G1651" s="936" t="s">
        <v>636</v>
      </c>
      <c r="H1651" s="919" t="s">
        <v>1376</v>
      </c>
      <c r="I1651" s="254">
        <v>200</v>
      </c>
      <c r="J1651" s="254">
        <v>5714.0748008964019</v>
      </c>
      <c r="K1651" s="916">
        <f t="shared" si="230"/>
        <v>1142815</v>
      </c>
      <c r="L1651" s="896" t="s">
        <v>169</v>
      </c>
      <c r="M1651" s="935" t="s">
        <v>167</v>
      </c>
      <c r="N1651" s="52" t="str">
        <f>IF(AND('331-CT'!$E$7=TH!H1651,OR(L1651="331",M1651="331")),"331",IF(AND(OR(L1651="131",M1651="131"),H1651='131-CT'!$E$7),"131",""))</f>
        <v/>
      </c>
      <c r="O1651" s="89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>x</v>
      </c>
      <c r="AB1651" s="854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232"/>
        <v>8</v>
      </c>
      <c r="C1652" s="48">
        <f t="shared" si="229"/>
        <v>41871</v>
      </c>
      <c r="D1652" s="914" t="s">
        <v>1383</v>
      </c>
      <c r="E1652" s="914">
        <v>41871</v>
      </c>
      <c r="F1652" s="915" t="s">
        <v>587</v>
      </c>
      <c r="G1652" s="936" t="s">
        <v>637</v>
      </c>
      <c r="H1652" s="919" t="s">
        <v>1376</v>
      </c>
      <c r="I1652" s="254">
        <v>350</v>
      </c>
      <c r="J1652" s="254">
        <v>10122.075361587913</v>
      </c>
      <c r="K1652" s="916">
        <f t="shared" si="230"/>
        <v>3542726</v>
      </c>
      <c r="L1652" s="896" t="s">
        <v>169</v>
      </c>
      <c r="M1652" s="935" t="s">
        <v>167</v>
      </c>
      <c r="N1652" s="52" t="str">
        <f>IF(AND('331-CT'!$E$7=TH!H1652,OR(L1652="331",M1652="331")),"331",IF(AND(OR(L1652="131",M1652="131"),H1652='131-CT'!$E$7),"131",""))</f>
        <v/>
      </c>
      <c r="O1652" s="89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>x</v>
      </c>
      <c r="AB1652" s="854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232"/>
        <v>8</v>
      </c>
      <c r="C1653" s="48">
        <f t="shared" si="229"/>
        <v>41871</v>
      </c>
      <c r="D1653" s="914" t="s">
        <v>1383</v>
      </c>
      <c r="E1653" s="914">
        <v>41871</v>
      </c>
      <c r="F1653" s="915" t="s">
        <v>638</v>
      </c>
      <c r="G1653" s="936" t="s">
        <v>639</v>
      </c>
      <c r="H1653" s="919" t="s">
        <v>1376</v>
      </c>
      <c r="I1653" s="254">
        <v>500</v>
      </c>
      <c r="J1653" s="254">
        <v>8816.0011213830221</v>
      </c>
      <c r="K1653" s="916">
        <f t="shared" si="230"/>
        <v>4408001</v>
      </c>
      <c r="L1653" s="896" t="s">
        <v>169</v>
      </c>
      <c r="M1653" s="935" t="s">
        <v>167</v>
      </c>
      <c r="N1653" s="52" t="str">
        <f>IF(AND('331-CT'!$E$7=TH!H1653,OR(L1653="331",M1653="331")),"331",IF(AND(OR(L1653="131",M1653="131"),H1653='131-CT'!$E$7),"131",""))</f>
        <v/>
      </c>
      <c r="O1653" s="89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>x</v>
      </c>
      <c r="AB1653" s="854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232"/>
        <v>8</v>
      </c>
      <c r="C1654" s="48">
        <f t="shared" si="229"/>
        <v>41871</v>
      </c>
      <c r="D1654" s="914" t="s">
        <v>1383</v>
      </c>
      <c r="E1654" s="914">
        <v>41871</v>
      </c>
      <c r="F1654" s="915" t="s">
        <v>640</v>
      </c>
      <c r="G1654" s="936" t="s">
        <v>641</v>
      </c>
      <c r="H1654" s="919" t="s">
        <v>1376</v>
      </c>
      <c r="I1654" s="254">
        <v>550</v>
      </c>
      <c r="J1654" s="254">
        <v>4163.1116406530937</v>
      </c>
      <c r="K1654" s="916">
        <f t="shared" si="230"/>
        <v>2289711</v>
      </c>
      <c r="L1654" s="896" t="s">
        <v>169</v>
      </c>
      <c r="M1654" s="935" t="s">
        <v>167</v>
      </c>
      <c r="N1654" s="52" t="str">
        <f>IF(AND('331-CT'!$E$7=TH!H1654,OR(L1654="331",M1654="331")),"331",IF(AND(OR(L1654="131",M1654="131"),H1654='131-CT'!$E$7),"131",""))</f>
        <v/>
      </c>
      <c r="O1654" s="89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>x</v>
      </c>
      <c r="AB1654" s="854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232"/>
        <v>8</v>
      </c>
      <c r="C1655" s="48">
        <f t="shared" si="229"/>
        <v>41872</v>
      </c>
      <c r="D1655" s="914" t="s">
        <v>1383</v>
      </c>
      <c r="E1655" s="914">
        <v>41872</v>
      </c>
      <c r="F1655" s="915" t="s">
        <v>484</v>
      </c>
      <c r="G1655" s="936" t="s">
        <v>643</v>
      </c>
      <c r="H1655" s="919" t="s">
        <v>1376</v>
      </c>
      <c r="I1655" s="254">
        <v>196</v>
      </c>
      <c r="J1655" s="254">
        <v>10938.371761715971</v>
      </c>
      <c r="K1655" s="916">
        <f t="shared" si="230"/>
        <v>2143921</v>
      </c>
      <c r="L1655" s="896" t="s">
        <v>169</v>
      </c>
      <c r="M1655" s="935" t="s">
        <v>167</v>
      </c>
      <c r="N1655" s="52" t="str">
        <f>IF(AND('331-CT'!$E$7=TH!H1655,OR(L1655="331",M1655="331")),"331",IF(AND(OR(L1655="131",M1655="131"),H1655='131-CT'!$E$7),"131",""))</f>
        <v/>
      </c>
      <c r="O1655" s="89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>x</v>
      </c>
      <c r="AB1655" s="854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232"/>
        <v>8</v>
      </c>
      <c r="C1656" s="48">
        <f t="shared" si="229"/>
        <v>41872</v>
      </c>
      <c r="D1656" s="914" t="s">
        <v>1383</v>
      </c>
      <c r="E1656" s="914">
        <v>41872</v>
      </c>
      <c r="F1656" s="915" t="s">
        <v>569</v>
      </c>
      <c r="G1656" s="936" t="s">
        <v>643</v>
      </c>
      <c r="H1656" s="919" t="s">
        <v>1376</v>
      </c>
      <c r="I1656" s="254">
        <v>200</v>
      </c>
      <c r="J1656" s="254">
        <v>7918.0750812421575</v>
      </c>
      <c r="K1656" s="916">
        <f t="shared" si="230"/>
        <v>1583615</v>
      </c>
      <c r="L1656" s="896" t="s">
        <v>169</v>
      </c>
      <c r="M1656" s="935" t="s">
        <v>167</v>
      </c>
      <c r="N1656" s="52" t="str">
        <f>IF(AND('331-CT'!$E$7=TH!H1656,OR(L1656="331",M1656="331")),"331",IF(AND(OR(L1656="131",M1656="131"),H1656='131-CT'!$E$7),"131",""))</f>
        <v/>
      </c>
      <c r="O1656" s="89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>x</v>
      </c>
      <c r="AB1656" s="854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232"/>
        <v>8</v>
      </c>
      <c r="C1657" s="48">
        <f t="shared" si="229"/>
        <v>41873</v>
      </c>
      <c r="D1657" s="914" t="s">
        <v>1383</v>
      </c>
      <c r="E1657" s="914">
        <v>41873</v>
      </c>
      <c r="F1657" s="915" t="s">
        <v>467</v>
      </c>
      <c r="G1657" s="936" t="s">
        <v>644</v>
      </c>
      <c r="H1657" s="919" t="s">
        <v>1376</v>
      </c>
      <c r="I1657" s="254">
        <v>1480</v>
      </c>
      <c r="J1657" s="254">
        <v>4244.7412806658995</v>
      </c>
      <c r="K1657" s="916">
        <f t="shared" si="230"/>
        <v>6282217</v>
      </c>
      <c r="L1657" s="896" t="s">
        <v>169</v>
      </c>
      <c r="M1657" s="935" t="s">
        <v>167</v>
      </c>
      <c r="N1657" s="52" t="str">
        <f>IF(AND('331-CT'!$E$7=TH!H1657,OR(L1657="331",M1657="331")),"331",IF(AND(OR(L1657="131",M1657="131"),H1657='131-CT'!$E$7),"131",""))</f>
        <v/>
      </c>
      <c r="O1657" s="89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>x</v>
      </c>
      <c r="AB1657" s="854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232"/>
        <v>8</v>
      </c>
      <c r="C1658" s="48">
        <f t="shared" si="229"/>
        <v>41873</v>
      </c>
      <c r="D1658" s="914" t="s">
        <v>1383</v>
      </c>
      <c r="E1658" s="914">
        <v>41873</v>
      </c>
      <c r="F1658" s="915" t="s">
        <v>645</v>
      </c>
      <c r="G1658" s="936" t="s">
        <v>646</v>
      </c>
      <c r="H1658" s="919" t="s">
        <v>1376</v>
      </c>
      <c r="I1658" s="254">
        <v>498</v>
      </c>
      <c r="J1658" s="254">
        <v>23590.965963700863</v>
      </c>
      <c r="K1658" s="916">
        <f t="shared" si="230"/>
        <v>11748301</v>
      </c>
      <c r="L1658" s="896" t="s">
        <v>169</v>
      </c>
      <c r="M1658" s="935" t="s">
        <v>167</v>
      </c>
      <c r="N1658" s="52" t="str">
        <f>IF(AND('331-CT'!$E$7=TH!H1658,OR(L1658="331",M1658="331")),"331",IF(AND(OR(L1658="131",M1658="131"),H1658='131-CT'!$E$7),"131",""))</f>
        <v/>
      </c>
      <c r="O1658" s="89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>x</v>
      </c>
      <c r="AB1658" s="854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ref="B1659:B1722" si="233">IF(C1659&lt;&gt;"",MONTH(C1659),"")</f>
        <v>8</v>
      </c>
      <c r="C1659" s="48">
        <f t="shared" si="229"/>
        <v>41873</v>
      </c>
      <c r="D1659" s="914" t="s">
        <v>1383</v>
      </c>
      <c r="E1659" s="914">
        <v>41873</v>
      </c>
      <c r="F1659" s="915" t="s">
        <v>648</v>
      </c>
      <c r="G1659" s="936" t="s">
        <v>646</v>
      </c>
      <c r="H1659" s="919" t="s">
        <v>1376</v>
      </c>
      <c r="I1659" s="254">
        <v>690</v>
      </c>
      <c r="J1659" s="254">
        <v>22693.039923559998</v>
      </c>
      <c r="K1659" s="916">
        <f t="shared" si="230"/>
        <v>15658198</v>
      </c>
      <c r="L1659" s="896" t="s">
        <v>169</v>
      </c>
      <c r="M1659" s="935" t="s">
        <v>167</v>
      </c>
      <c r="N1659" s="52" t="str">
        <f>IF(AND('331-CT'!$E$7=TH!H1659,OR(L1659="331",M1659="331")),"331",IF(AND(OR(L1659="131",M1659="131"),H1659='131-CT'!$E$7),"131",""))</f>
        <v/>
      </c>
      <c r="O1659" s="89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>x</v>
      </c>
      <c r="AB1659" s="854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233"/>
        <v>8</v>
      </c>
      <c r="C1660" s="48">
        <f t="shared" si="229"/>
        <v>41873</v>
      </c>
      <c r="D1660" s="914" t="s">
        <v>1383</v>
      </c>
      <c r="E1660" s="914">
        <v>41873</v>
      </c>
      <c r="F1660" s="915" t="s">
        <v>648</v>
      </c>
      <c r="G1660" s="936" t="s">
        <v>646</v>
      </c>
      <c r="H1660" s="919" t="s">
        <v>1376</v>
      </c>
      <c r="I1660" s="254">
        <v>130</v>
      </c>
      <c r="J1660" s="254">
        <v>22693.039923559998</v>
      </c>
      <c r="K1660" s="916">
        <f t="shared" si="230"/>
        <v>2950095</v>
      </c>
      <c r="L1660" s="896" t="s">
        <v>169</v>
      </c>
      <c r="M1660" s="935" t="s">
        <v>167</v>
      </c>
      <c r="N1660" s="52" t="str">
        <f>IF(AND('331-CT'!$E$7=TH!H1660,OR(L1660="331",M1660="331")),"331",IF(AND(OR(L1660="131",M1660="131"),H1660='131-CT'!$E$7),"131",""))</f>
        <v/>
      </c>
      <c r="O1660" s="89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>x</v>
      </c>
      <c r="AB1660" s="854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233"/>
        <v>8</v>
      </c>
      <c r="C1661" s="48">
        <f t="shared" si="229"/>
        <v>41873</v>
      </c>
      <c r="D1661" s="914" t="s">
        <v>1383</v>
      </c>
      <c r="E1661" s="914">
        <v>41873</v>
      </c>
      <c r="F1661" s="915" t="s">
        <v>649</v>
      </c>
      <c r="G1661" s="936" t="s">
        <v>646</v>
      </c>
      <c r="H1661" s="919" t="s">
        <v>1376</v>
      </c>
      <c r="I1661" s="254">
        <v>1000</v>
      </c>
      <c r="J1661" s="254">
        <v>14121.927722215394</v>
      </c>
      <c r="K1661" s="916">
        <f t="shared" si="230"/>
        <v>14121928</v>
      </c>
      <c r="L1661" s="896" t="s">
        <v>169</v>
      </c>
      <c r="M1661" s="935" t="s">
        <v>167</v>
      </c>
      <c r="N1661" s="52" t="str">
        <f>IF(AND('331-CT'!$E$7=TH!H1661,OR(L1661="331",M1661="331")),"331",IF(AND(OR(L1661="131",M1661="131"),H1661='131-CT'!$E$7),"131",""))</f>
        <v/>
      </c>
      <c r="O1661" s="89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>x</v>
      </c>
      <c r="AB1661" s="854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233"/>
        <v>8</v>
      </c>
      <c r="C1662" s="48">
        <f t="shared" si="229"/>
        <v>41873</v>
      </c>
      <c r="D1662" s="914" t="s">
        <v>1383</v>
      </c>
      <c r="E1662" s="914">
        <v>41873</v>
      </c>
      <c r="F1662" s="915" t="s">
        <v>650</v>
      </c>
      <c r="G1662" s="936" t="s">
        <v>646</v>
      </c>
      <c r="H1662" s="919" t="s">
        <v>1376</v>
      </c>
      <c r="I1662" s="254">
        <v>425</v>
      </c>
      <c r="J1662" s="254">
        <v>22774.669563572803</v>
      </c>
      <c r="K1662" s="916">
        <f t="shared" si="230"/>
        <v>9679235</v>
      </c>
      <c r="L1662" s="896" t="s">
        <v>169</v>
      </c>
      <c r="M1662" s="935" t="s">
        <v>167</v>
      </c>
      <c r="N1662" s="52" t="str">
        <f>IF(AND('331-CT'!$E$7=TH!H1662,OR(L1662="331",M1662="331")),"331",IF(AND(OR(L1662="131",M1662="131"),H1662='131-CT'!$E$7),"131",""))</f>
        <v/>
      </c>
      <c r="O1662" s="89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>x</v>
      </c>
      <c r="AB1662" s="854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233"/>
        <v>8</v>
      </c>
      <c r="C1663" s="48">
        <f t="shared" si="229"/>
        <v>41873</v>
      </c>
      <c r="D1663" s="914" t="s">
        <v>1383</v>
      </c>
      <c r="E1663" s="914">
        <v>41873</v>
      </c>
      <c r="F1663" s="915" t="s">
        <v>650</v>
      </c>
      <c r="G1663" s="936" t="s">
        <v>646</v>
      </c>
      <c r="H1663" s="919" t="s">
        <v>1376</v>
      </c>
      <c r="I1663" s="254">
        <v>322</v>
      </c>
      <c r="J1663" s="254">
        <v>22774.669563572803</v>
      </c>
      <c r="K1663" s="916">
        <f t="shared" si="230"/>
        <v>7333444</v>
      </c>
      <c r="L1663" s="896" t="s">
        <v>169</v>
      </c>
      <c r="M1663" s="935" t="s">
        <v>167</v>
      </c>
      <c r="N1663" s="52" t="str">
        <f>IF(AND('331-CT'!$E$7=TH!H1663,OR(L1663="331",M1663="331")),"331",IF(AND(OR(L1663="131",M1663="131"),H1663='131-CT'!$E$7),"131",""))</f>
        <v/>
      </c>
      <c r="O1663" s="89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>x</v>
      </c>
      <c r="AB1663" s="854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233"/>
        <v>8</v>
      </c>
      <c r="C1664" s="48">
        <f t="shared" si="229"/>
        <v>41876</v>
      </c>
      <c r="D1664" s="914" t="s">
        <v>1383</v>
      </c>
      <c r="E1664" s="914">
        <v>41876</v>
      </c>
      <c r="F1664" s="915" t="s">
        <v>1211</v>
      </c>
      <c r="G1664" s="936" t="s">
        <v>652</v>
      </c>
      <c r="H1664" s="919" t="s">
        <v>1376</v>
      </c>
      <c r="I1664" s="254">
        <v>600</v>
      </c>
      <c r="J1664" s="254">
        <v>9305.7789614598551</v>
      </c>
      <c r="K1664" s="916">
        <f t="shared" si="230"/>
        <v>5583467</v>
      </c>
      <c r="L1664" s="896" t="s">
        <v>169</v>
      </c>
      <c r="M1664" s="935" t="s">
        <v>167</v>
      </c>
      <c r="N1664" s="52" t="str">
        <f>IF(AND('331-CT'!$E$7=TH!H1664,OR(L1664="331",M1664="331")),"331",IF(AND(OR(L1664="131",M1664="131"),H1664='131-CT'!$E$7),"131",""))</f>
        <v/>
      </c>
      <c r="O1664" s="89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>x</v>
      </c>
      <c r="AB1664" s="854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233"/>
        <v>8</v>
      </c>
      <c r="C1665" s="48">
        <f t="shared" si="229"/>
        <v>41876</v>
      </c>
      <c r="D1665" s="914" t="s">
        <v>1383</v>
      </c>
      <c r="E1665" s="914">
        <v>41876</v>
      </c>
      <c r="F1665" s="915" t="s">
        <v>446</v>
      </c>
      <c r="G1665" s="936" t="s">
        <v>652</v>
      </c>
      <c r="H1665" s="919" t="s">
        <v>1376</v>
      </c>
      <c r="I1665" s="254">
        <v>1200</v>
      </c>
      <c r="J1665" s="254">
        <v>816.29640012805748</v>
      </c>
      <c r="K1665" s="916">
        <f t="shared" si="230"/>
        <v>979556</v>
      </c>
      <c r="L1665" s="896" t="s">
        <v>169</v>
      </c>
      <c r="M1665" s="935" t="s">
        <v>167</v>
      </c>
      <c r="N1665" s="52" t="str">
        <f>IF(AND('331-CT'!$E$7=TH!H1665,OR(L1665="331",M1665="331")),"331",IF(AND(OR(L1665="131",M1665="131"),H1665='131-CT'!$E$7),"131",""))</f>
        <v/>
      </c>
      <c r="O1665" s="89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>x</v>
      </c>
      <c r="AB1665" s="854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233"/>
        <v>8</v>
      </c>
      <c r="C1666" s="48">
        <f t="shared" si="229"/>
        <v>41876</v>
      </c>
      <c r="D1666" s="914" t="s">
        <v>1383</v>
      </c>
      <c r="E1666" s="914">
        <v>41876</v>
      </c>
      <c r="F1666" s="915" t="s">
        <v>653</v>
      </c>
      <c r="G1666" s="936" t="s">
        <v>654</v>
      </c>
      <c r="H1666" s="919" t="s">
        <v>1376</v>
      </c>
      <c r="I1666" s="254">
        <v>8160</v>
      </c>
      <c r="J1666" s="254">
        <v>6040.5933609476251</v>
      </c>
      <c r="K1666" s="916">
        <f t="shared" si="230"/>
        <v>49291242</v>
      </c>
      <c r="L1666" s="896" t="s">
        <v>169</v>
      </c>
      <c r="M1666" s="935" t="s">
        <v>167</v>
      </c>
      <c r="N1666" s="52" t="str">
        <f>IF(AND('331-CT'!$E$7=TH!H1666,OR(L1666="331",M1666="331")),"331",IF(AND(OR(L1666="131",M1666="131"),H1666='131-CT'!$E$7),"131",""))</f>
        <v/>
      </c>
      <c r="O1666" s="89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>x</v>
      </c>
      <c r="AB1666" s="854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233"/>
        <v>8</v>
      </c>
      <c r="C1667" s="48">
        <f t="shared" ref="C1667:C1730" si="234">E1667</f>
        <v>41876</v>
      </c>
      <c r="D1667" s="914" t="s">
        <v>1383</v>
      </c>
      <c r="E1667" s="914">
        <v>41876</v>
      </c>
      <c r="F1667" s="915" t="s">
        <v>656</v>
      </c>
      <c r="G1667" s="936" t="s">
        <v>657</v>
      </c>
      <c r="H1667" s="919" t="s">
        <v>1376</v>
      </c>
      <c r="I1667" s="254">
        <v>626</v>
      </c>
      <c r="J1667" s="254">
        <v>11264.890321767192</v>
      </c>
      <c r="K1667" s="916">
        <f t="shared" ref="K1667:K1730" si="235">ROUND(I1667*J1667,0)</f>
        <v>7051821</v>
      </c>
      <c r="L1667" s="896" t="s">
        <v>169</v>
      </c>
      <c r="M1667" s="935" t="s">
        <v>167</v>
      </c>
      <c r="N1667" s="52" t="str">
        <f>IF(AND('331-CT'!$E$7=TH!H1667,OR(L1667="331",M1667="331")),"331",IF(AND(OR(L1667="131",M1667="131"),H1667='131-CT'!$E$7),"131",""))</f>
        <v/>
      </c>
      <c r="O1667" s="89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>x</v>
      </c>
      <c r="AB1667" s="854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233"/>
        <v>8</v>
      </c>
      <c r="C1668" s="48">
        <f t="shared" si="234"/>
        <v>41876</v>
      </c>
      <c r="D1668" s="914" t="s">
        <v>1383</v>
      </c>
      <c r="E1668" s="914">
        <v>41876</v>
      </c>
      <c r="F1668" s="915" t="s">
        <v>658</v>
      </c>
      <c r="G1668" s="936" t="s">
        <v>657</v>
      </c>
      <c r="H1668" s="919" t="s">
        <v>1376</v>
      </c>
      <c r="I1668" s="254">
        <v>160</v>
      </c>
      <c r="J1668" s="254">
        <v>8244.5936412933806</v>
      </c>
      <c r="K1668" s="916">
        <f t="shared" si="235"/>
        <v>1319135</v>
      </c>
      <c r="L1668" s="896" t="s">
        <v>169</v>
      </c>
      <c r="M1668" s="935" t="s">
        <v>167</v>
      </c>
      <c r="N1668" s="52" t="str">
        <f>IF(AND('331-CT'!$E$7=TH!H1668,OR(L1668="331",M1668="331")),"331",IF(AND(OR(L1668="131",M1668="131"),H1668='131-CT'!$E$7),"131",""))</f>
        <v/>
      </c>
      <c r="O1668" s="89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>x</v>
      </c>
      <c r="AB1668" s="854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233"/>
        <v>8</v>
      </c>
      <c r="C1669" s="48">
        <f t="shared" si="234"/>
        <v>41876</v>
      </c>
      <c r="D1669" s="914" t="s">
        <v>1383</v>
      </c>
      <c r="E1669" s="914">
        <v>41876</v>
      </c>
      <c r="F1669" s="915" t="s">
        <v>624</v>
      </c>
      <c r="G1669" s="936" t="s">
        <v>657</v>
      </c>
      <c r="H1669" s="919" t="s">
        <v>1376</v>
      </c>
      <c r="I1669" s="254">
        <v>1900</v>
      </c>
      <c r="J1669" s="254">
        <v>489.77784007683448</v>
      </c>
      <c r="K1669" s="916">
        <f t="shared" si="235"/>
        <v>930578</v>
      </c>
      <c r="L1669" s="896" t="s">
        <v>169</v>
      </c>
      <c r="M1669" s="935" t="s">
        <v>167</v>
      </c>
      <c r="N1669" s="52" t="str">
        <f>IF(AND('331-CT'!$E$7=TH!H1669,OR(L1669="331",M1669="331")),"331",IF(AND(OR(L1669="131",M1669="131"),H1669='131-CT'!$E$7),"131",""))</f>
        <v/>
      </c>
      <c r="O1669" s="89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>x</v>
      </c>
      <c r="AB1669" s="854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233"/>
        <v>8</v>
      </c>
      <c r="C1670" s="48">
        <f t="shared" si="234"/>
        <v>41877</v>
      </c>
      <c r="D1670" s="914" t="s">
        <v>1383</v>
      </c>
      <c r="E1670" s="914">
        <v>41877</v>
      </c>
      <c r="F1670" s="915" t="s">
        <v>601</v>
      </c>
      <c r="G1670" s="936" t="s">
        <v>659</v>
      </c>
      <c r="H1670" s="919" t="s">
        <v>1376</v>
      </c>
      <c r="I1670" s="254">
        <v>612</v>
      </c>
      <c r="J1670" s="254">
        <v>10366.964281626329</v>
      </c>
      <c r="K1670" s="916">
        <f t="shared" si="235"/>
        <v>6344582</v>
      </c>
      <c r="L1670" s="896" t="s">
        <v>169</v>
      </c>
      <c r="M1670" s="935" t="s">
        <v>167</v>
      </c>
      <c r="N1670" s="52" t="str">
        <f>IF(AND('331-CT'!$E$7=TH!H1670,OR(L1670="331",M1670="331")),"331",IF(AND(OR(L1670="131",M1670="131"),H1670='131-CT'!$E$7),"131",""))</f>
        <v/>
      </c>
      <c r="O1670" s="89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>x</v>
      </c>
      <c r="AB1670" s="854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233"/>
        <v>8</v>
      </c>
      <c r="C1671" s="48">
        <f t="shared" si="234"/>
        <v>41877</v>
      </c>
      <c r="D1671" s="914" t="s">
        <v>1383</v>
      </c>
      <c r="E1671" s="914">
        <v>41877</v>
      </c>
      <c r="F1671" s="915" t="s">
        <v>604</v>
      </c>
      <c r="G1671" s="936" t="s">
        <v>659</v>
      </c>
      <c r="H1671" s="919" t="s">
        <v>1376</v>
      </c>
      <c r="I1671" s="254">
        <v>267</v>
      </c>
      <c r="J1671" s="254">
        <v>9469.0382414854666</v>
      </c>
      <c r="K1671" s="916">
        <f t="shared" si="235"/>
        <v>2528233</v>
      </c>
      <c r="L1671" s="896" t="s">
        <v>169</v>
      </c>
      <c r="M1671" s="935" t="s">
        <v>167</v>
      </c>
      <c r="N1671" s="52" t="str">
        <f>IF(AND('331-CT'!$E$7=TH!H1671,OR(L1671="331",M1671="331")),"331",IF(AND(OR(L1671="131",M1671="131"),H1671='131-CT'!$E$7),"131",""))</f>
        <v/>
      </c>
      <c r="O1671" s="89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>x</v>
      </c>
      <c r="AB1671" s="854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233"/>
        <v>8</v>
      </c>
      <c r="C1672" s="48">
        <f t="shared" si="234"/>
        <v>41877</v>
      </c>
      <c r="D1672" s="914" t="s">
        <v>1383</v>
      </c>
      <c r="E1672" s="914">
        <v>41877</v>
      </c>
      <c r="F1672" s="915" t="s">
        <v>601</v>
      </c>
      <c r="G1672" s="936" t="s">
        <v>659</v>
      </c>
      <c r="H1672" s="919" t="s">
        <v>1376</v>
      </c>
      <c r="I1672" s="254">
        <v>77</v>
      </c>
      <c r="J1672" s="254">
        <v>10366.964281626329</v>
      </c>
      <c r="K1672" s="916">
        <f t="shared" si="235"/>
        <v>798256</v>
      </c>
      <c r="L1672" s="896" t="s">
        <v>169</v>
      </c>
      <c r="M1672" s="935" t="s">
        <v>167</v>
      </c>
      <c r="N1672" s="52" t="str">
        <f>IF(AND('331-CT'!$E$7=TH!H1672,OR(L1672="331",M1672="331")),"331",IF(AND(OR(L1672="131",M1672="131"),H1672='131-CT'!$E$7),"131",""))</f>
        <v/>
      </c>
      <c r="O1672" s="89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>x</v>
      </c>
      <c r="AB1672" s="854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233"/>
        <v>8</v>
      </c>
      <c r="C1673" s="48">
        <f t="shared" si="234"/>
        <v>41877</v>
      </c>
      <c r="D1673" s="914" t="s">
        <v>1383</v>
      </c>
      <c r="E1673" s="914">
        <v>41877</v>
      </c>
      <c r="F1673" s="915" t="s">
        <v>624</v>
      </c>
      <c r="G1673" s="936" t="s">
        <v>659</v>
      </c>
      <c r="H1673" s="919" t="s">
        <v>1376</v>
      </c>
      <c r="I1673" s="254">
        <v>2400</v>
      </c>
      <c r="J1673" s="254">
        <v>489.77784007683448</v>
      </c>
      <c r="K1673" s="916">
        <f t="shared" si="235"/>
        <v>1175467</v>
      </c>
      <c r="L1673" s="896" t="s">
        <v>169</v>
      </c>
      <c r="M1673" s="935" t="s">
        <v>167</v>
      </c>
      <c r="N1673" s="52" t="str">
        <f>IF(AND('331-CT'!$E$7=TH!H1673,OR(L1673="331",M1673="331")),"331",IF(AND(OR(L1673="131",M1673="131"),H1673='131-CT'!$E$7),"131",""))</f>
        <v/>
      </c>
      <c r="O1673" s="89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>x</v>
      </c>
      <c r="AB1673" s="854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233"/>
        <v>8</v>
      </c>
      <c r="C1674" s="48">
        <f t="shared" si="234"/>
        <v>41878</v>
      </c>
      <c r="D1674" s="914" t="s">
        <v>1383</v>
      </c>
      <c r="E1674" s="914">
        <v>41878</v>
      </c>
      <c r="F1674" s="915" t="s">
        <v>516</v>
      </c>
      <c r="G1674" s="936" t="s">
        <v>660</v>
      </c>
      <c r="H1674" s="919" t="s">
        <v>1376</v>
      </c>
      <c r="I1674" s="254">
        <v>981</v>
      </c>
      <c r="J1674" s="254">
        <v>9387.4086014726599</v>
      </c>
      <c r="K1674" s="916">
        <f t="shared" si="235"/>
        <v>9209048</v>
      </c>
      <c r="L1674" s="896" t="s">
        <v>169</v>
      </c>
      <c r="M1674" s="935" t="s">
        <v>167</v>
      </c>
      <c r="N1674" s="52" t="str">
        <f>IF(AND('331-CT'!$E$7=TH!H1674,OR(L1674="331",M1674="331")),"331",IF(AND(OR(L1674="131",M1674="131"),H1674='131-CT'!$E$7),"131",""))</f>
        <v/>
      </c>
      <c r="O1674" s="89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>x</v>
      </c>
      <c r="AB1674" s="854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233"/>
        <v>8</v>
      </c>
      <c r="C1675" s="48">
        <f t="shared" si="234"/>
        <v>41879</v>
      </c>
      <c r="D1675" s="914" t="s">
        <v>1383</v>
      </c>
      <c r="E1675" s="914">
        <v>41879</v>
      </c>
      <c r="F1675" s="915" t="s">
        <v>1204</v>
      </c>
      <c r="G1675" s="936" t="s">
        <v>661</v>
      </c>
      <c r="H1675" s="919" t="s">
        <v>1376</v>
      </c>
      <c r="I1675" s="254">
        <v>1200</v>
      </c>
      <c r="J1675" s="254">
        <v>1306.074240204892</v>
      </c>
      <c r="K1675" s="916">
        <f t="shared" si="235"/>
        <v>1567289</v>
      </c>
      <c r="L1675" s="896" t="s">
        <v>169</v>
      </c>
      <c r="M1675" s="935" t="s">
        <v>167</v>
      </c>
      <c r="N1675" s="52" t="str">
        <f>IF(AND('331-CT'!$E$7=TH!H1675,OR(L1675="331",M1675="331")),"331",IF(AND(OR(L1675="131",M1675="131"),H1675='131-CT'!$E$7),"131",""))</f>
        <v/>
      </c>
      <c r="O1675" s="89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>x</v>
      </c>
      <c r="AB1675" s="854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233"/>
        <v>8</v>
      </c>
      <c r="C1676" s="48">
        <f t="shared" si="234"/>
        <v>41879</v>
      </c>
      <c r="D1676" s="914" t="s">
        <v>1383</v>
      </c>
      <c r="E1676" s="914">
        <v>41879</v>
      </c>
      <c r="F1676" s="915" t="s">
        <v>1205</v>
      </c>
      <c r="G1676" s="936" t="s">
        <v>661</v>
      </c>
      <c r="H1676" s="919" t="s">
        <v>1376</v>
      </c>
      <c r="I1676" s="254">
        <v>400</v>
      </c>
      <c r="J1676" s="254">
        <v>3836.59308060187</v>
      </c>
      <c r="K1676" s="916">
        <f t="shared" si="235"/>
        <v>1534637</v>
      </c>
      <c r="L1676" s="896" t="s">
        <v>169</v>
      </c>
      <c r="M1676" s="935" t="s">
        <v>167</v>
      </c>
      <c r="N1676" s="52" t="str">
        <f>IF(AND('331-CT'!$E$7=TH!H1676,OR(L1676="331",M1676="331")),"331",IF(AND(OR(L1676="131",M1676="131"),H1676='131-CT'!$E$7),"131",""))</f>
        <v/>
      </c>
      <c r="O1676" s="89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>x</v>
      </c>
      <c r="AB1676" s="854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233"/>
        <v>9</v>
      </c>
      <c r="C1677" s="48">
        <f t="shared" si="234"/>
        <v>41883</v>
      </c>
      <c r="D1677" s="914" t="s">
        <v>1383</v>
      </c>
      <c r="E1677" s="914">
        <v>41883</v>
      </c>
      <c r="F1677" s="915" t="s">
        <v>665</v>
      </c>
      <c r="G1677" s="936" t="s">
        <v>666</v>
      </c>
      <c r="H1677" s="919" t="s">
        <v>1376</v>
      </c>
      <c r="I1677" s="254">
        <v>509</v>
      </c>
      <c r="J1677" s="254">
        <v>6367.1119209988483</v>
      </c>
      <c r="K1677" s="916">
        <f t="shared" si="235"/>
        <v>3240860</v>
      </c>
      <c r="L1677" s="896" t="s">
        <v>169</v>
      </c>
      <c r="M1677" s="935" t="s">
        <v>167</v>
      </c>
      <c r="N1677" s="52" t="str">
        <f>IF(AND('331-CT'!$E$7=TH!H1677,OR(L1677="331",M1677="331")),"331",IF(AND(OR(L1677="131",M1677="131"),H1677='131-CT'!$E$7),"131",""))</f>
        <v/>
      </c>
      <c r="O1677" s="89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>x</v>
      </c>
      <c r="AB1677" s="854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233"/>
        <v>9</v>
      </c>
      <c r="C1678" s="48">
        <f t="shared" si="234"/>
        <v>41883</v>
      </c>
      <c r="D1678" s="914" t="s">
        <v>1383</v>
      </c>
      <c r="E1678" s="914">
        <v>41883</v>
      </c>
      <c r="F1678" s="915" t="s">
        <v>667</v>
      </c>
      <c r="G1678" s="936" t="s">
        <v>666</v>
      </c>
      <c r="H1678" s="919" t="s">
        <v>1376</v>
      </c>
      <c r="I1678" s="254">
        <v>210</v>
      </c>
      <c r="J1678" s="254">
        <v>6040.5933609476251</v>
      </c>
      <c r="K1678" s="916">
        <f t="shared" si="235"/>
        <v>1268525</v>
      </c>
      <c r="L1678" s="896" t="s">
        <v>169</v>
      </c>
      <c r="M1678" s="935" t="s">
        <v>167</v>
      </c>
      <c r="N1678" s="52" t="str">
        <f>IF(AND('331-CT'!$E$7=TH!H1678,OR(L1678="331",M1678="331")),"331",IF(AND(OR(L1678="131",M1678="131"),H1678='131-CT'!$E$7),"131",""))</f>
        <v/>
      </c>
      <c r="O1678" s="89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>x</v>
      </c>
      <c r="AB1678" s="854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233"/>
        <v>9</v>
      </c>
      <c r="C1679" s="48">
        <f t="shared" si="234"/>
        <v>41883</v>
      </c>
      <c r="D1679" s="914" t="s">
        <v>1383</v>
      </c>
      <c r="E1679" s="914">
        <v>41883</v>
      </c>
      <c r="F1679" s="915" t="s">
        <v>601</v>
      </c>
      <c r="G1679" s="936" t="s">
        <v>668</v>
      </c>
      <c r="H1679" s="919" t="s">
        <v>1376</v>
      </c>
      <c r="I1679" s="254">
        <v>1116</v>
      </c>
      <c r="J1679" s="254">
        <v>10366.964281626329</v>
      </c>
      <c r="K1679" s="916">
        <f t="shared" si="235"/>
        <v>11569532</v>
      </c>
      <c r="L1679" s="896" t="s">
        <v>169</v>
      </c>
      <c r="M1679" s="935" t="s">
        <v>167</v>
      </c>
      <c r="N1679" s="52" t="str">
        <f>IF(AND('331-CT'!$E$7=TH!H1679,OR(L1679="331",M1679="331")),"331",IF(AND(OR(L1679="131",M1679="131"),H1679='131-CT'!$E$7),"131",""))</f>
        <v/>
      </c>
      <c r="O1679" s="89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>x</v>
      </c>
      <c r="AB1679" s="854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233"/>
        <v>9</v>
      </c>
      <c r="C1680" s="48">
        <f t="shared" si="234"/>
        <v>41883</v>
      </c>
      <c r="D1680" s="914" t="s">
        <v>1383</v>
      </c>
      <c r="E1680" s="914">
        <v>41883</v>
      </c>
      <c r="F1680" s="915" t="s">
        <v>663</v>
      </c>
      <c r="G1680" s="936" t="s">
        <v>668</v>
      </c>
      <c r="H1680" s="919" t="s">
        <v>1376</v>
      </c>
      <c r="I1680" s="254">
        <v>1273</v>
      </c>
      <c r="J1680" s="254">
        <v>7836.4454412293517</v>
      </c>
      <c r="K1680" s="916">
        <f t="shared" si="235"/>
        <v>9975795</v>
      </c>
      <c r="L1680" s="896" t="s">
        <v>169</v>
      </c>
      <c r="M1680" s="935" t="s">
        <v>167</v>
      </c>
      <c r="N1680" s="52" t="str">
        <f>IF(AND('331-CT'!$E$7=TH!H1680,OR(L1680="331",M1680="331")),"331",IF(AND(OR(L1680="131",M1680="131"),H1680='131-CT'!$E$7),"131",""))</f>
        <v/>
      </c>
      <c r="O1680" s="89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>x</v>
      </c>
      <c r="AB1680" s="854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233"/>
        <v>9</v>
      </c>
      <c r="C1681" s="48">
        <f t="shared" si="234"/>
        <v>41883</v>
      </c>
      <c r="D1681" s="914" t="s">
        <v>1383</v>
      </c>
      <c r="E1681" s="914">
        <v>41883</v>
      </c>
      <c r="F1681" s="915" t="s">
        <v>604</v>
      </c>
      <c r="G1681" s="936" t="s">
        <v>668</v>
      </c>
      <c r="H1681" s="919" t="s">
        <v>1376</v>
      </c>
      <c r="I1681" s="254">
        <v>373</v>
      </c>
      <c r="J1681" s="254">
        <v>9469.0382414854666</v>
      </c>
      <c r="K1681" s="916">
        <f t="shared" si="235"/>
        <v>3531951</v>
      </c>
      <c r="L1681" s="896" t="s">
        <v>169</v>
      </c>
      <c r="M1681" s="935" t="s">
        <v>167</v>
      </c>
      <c r="N1681" s="52" t="str">
        <f>IF(AND('331-CT'!$E$7=TH!H1681,OR(L1681="331",M1681="331")),"331",IF(AND(OR(L1681="131",M1681="131"),H1681='131-CT'!$E$7),"131",""))</f>
        <v/>
      </c>
      <c r="O1681" s="89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>x</v>
      </c>
      <c r="AB1681" s="854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233"/>
        <v>9</v>
      </c>
      <c r="C1682" s="48">
        <f t="shared" si="234"/>
        <v>41883</v>
      </c>
      <c r="D1682" s="914" t="s">
        <v>1383</v>
      </c>
      <c r="E1682" s="914">
        <v>41883</v>
      </c>
      <c r="F1682" s="915" t="s">
        <v>664</v>
      </c>
      <c r="G1682" s="936" t="s">
        <v>668</v>
      </c>
      <c r="H1682" s="919" t="s">
        <v>1376</v>
      </c>
      <c r="I1682" s="254">
        <v>176</v>
      </c>
      <c r="J1682" s="254">
        <v>10856.742121703164</v>
      </c>
      <c r="K1682" s="916">
        <f t="shared" si="235"/>
        <v>1910787</v>
      </c>
      <c r="L1682" s="896" t="s">
        <v>169</v>
      </c>
      <c r="M1682" s="935" t="s">
        <v>167</v>
      </c>
      <c r="N1682" s="52" t="str">
        <f>IF(AND('331-CT'!$E$7=TH!H1682,OR(L1682="331",M1682="331")),"331",IF(AND(OR(L1682="131",M1682="131"),H1682='131-CT'!$E$7),"131",""))</f>
        <v/>
      </c>
      <c r="O1682" s="89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>x</v>
      </c>
      <c r="AB1682" s="854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233"/>
        <v>9</v>
      </c>
      <c r="C1683" s="48">
        <f t="shared" si="234"/>
        <v>41883</v>
      </c>
      <c r="D1683" s="914" t="s">
        <v>1383</v>
      </c>
      <c r="E1683" s="914">
        <v>41883</v>
      </c>
      <c r="F1683" s="915" t="s">
        <v>624</v>
      </c>
      <c r="G1683" s="936" t="s">
        <v>668</v>
      </c>
      <c r="H1683" s="919" t="s">
        <v>1376</v>
      </c>
      <c r="I1683" s="254">
        <v>4500</v>
      </c>
      <c r="J1683" s="254">
        <v>489.77784007683448</v>
      </c>
      <c r="K1683" s="916">
        <f t="shared" si="235"/>
        <v>2204000</v>
      </c>
      <c r="L1683" s="896" t="s">
        <v>169</v>
      </c>
      <c r="M1683" s="935" t="s">
        <v>167</v>
      </c>
      <c r="N1683" s="52" t="str">
        <f>IF(AND('331-CT'!$E$7=TH!H1683,OR(L1683="331",M1683="331")),"331",IF(AND(OR(L1683="131",M1683="131"),H1683='131-CT'!$E$7),"131",""))</f>
        <v/>
      </c>
      <c r="O1683" s="89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>x</v>
      </c>
      <c r="AB1683" s="854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233"/>
        <v>9</v>
      </c>
      <c r="C1684" s="48">
        <f t="shared" si="234"/>
        <v>41883</v>
      </c>
      <c r="D1684" s="914" t="s">
        <v>1383</v>
      </c>
      <c r="E1684" s="914">
        <v>41883</v>
      </c>
      <c r="F1684" s="915" t="s">
        <v>669</v>
      </c>
      <c r="G1684" s="936" t="s">
        <v>670</v>
      </c>
      <c r="H1684" s="919" t="s">
        <v>1376</v>
      </c>
      <c r="I1684" s="254">
        <v>500</v>
      </c>
      <c r="J1684" s="254">
        <v>5550.8155208707913</v>
      </c>
      <c r="K1684" s="916">
        <f t="shared" si="235"/>
        <v>2775408</v>
      </c>
      <c r="L1684" s="896" t="s">
        <v>169</v>
      </c>
      <c r="M1684" s="935" t="s">
        <v>167</v>
      </c>
      <c r="N1684" s="52" t="str">
        <f>IF(AND('331-CT'!$E$7=TH!H1684,OR(L1684="331",M1684="331")),"331",IF(AND(OR(L1684="131",M1684="131"),H1684='131-CT'!$E$7),"131",""))</f>
        <v/>
      </c>
      <c r="O1684" s="89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>x</v>
      </c>
      <c r="AB1684" s="854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233"/>
        <v>9</v>
      </c>
      <c r="C1685" s="48">
        <f t="shared" si="234"/>
        <v>41886</v>
      </c>
      <c r="D1685" s="914" t="s">
        <v>1383</v>
      </c>
      <c r="E1685" s="914">
        <v>41886</v>
      </c>
      <c r="F1685" s="915" t="s">
        <v>671</v>
      </c>
      <c r="G1685" s="936" t="s">
        <v>672</v>
      </c>
      <c r="H1685" s="919" t="s">
        <v>1376</v>
      </c>
      <c r="I1685" s="254">
        <v>711</v>
      </c>
      <c r="J1685" s="254">
        <v>7346.6676011525178</v>
      </c>
      <c r="K1685" s="916">
        <f t="shared" si="235"/>
        <v>5223481</v>
      </c>
      <c r="L1685" s="896" t="s">
        <v>169</v>
      </c>
      <c r="M1685" s="935" t="s">
        <v>167</v>
      </c>
      <c r="N1685" s="52" t="str">
        <f>IF(AND('331-CT'!$E$7=TH!H1685,OR(L1685="331",M1685="331")),"331",IF(AND(OR(L1685="131",M1685="131"),H1685='131-CT'!$E$7),"131",""))</f>
        <v/>
      </c>
      <c r="O1685" s="89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>x</v>
      </c>
      <c r="AB1685" s="854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233"/>
        <v>9</v>
      </c>
      <c r="C1686" s="48">
        <f t="shared" si="234"/>
        <v>41886</v>
      </c>
      <c r="D1686" s="914" t="s">
        <v>1383</v>
      </c>
      <c r="E1686" s="914">
        <v>41886</v>
      </c>
      <c r="F1686" s="915" t="s">
        <v>484</v>
      </c>
      <c r="G1686" s="936" t="s">
        <v>674</v>
      </c>
      <c r="H1686" s="919" t="s">
        <v>1376</v>
      </c>
      <c r="I1686" s="254">
        <v>197</v>
      </c>
      <c r="J1686" s="254">
        <v>10938.371761715971</v>
      </c>
      <c r="K1686" s="916">
        <f t="shared" si="235"/>
        <v>2154859</v>
      </c>
      <c r="L1686" s="896" t="s">
        <v>169</v>
      </c>
      <c r="M1686" s="935" t="s">
        <v>167</v>
      </c>
      <c r="N1686" s="52" t="str">
        <f>IF(AND('331-CT'!$E$7=TH!H1686,OR(L1686="331",M1686="331")),"331",IF(AND(OR(L1686="131",M1686="131"),H1686='131-CT'!$E$7),"131",""))</f>
        <v/>
      </c>
      <c r="O1686" s="89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>x</v>
      </c>
      <c r="AB1686" s="854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233"/>
        <v>9</v>
      </c>
      <c r="C1687" s="48">
        <f t="shared" si="234"/>
        <v>41886</v>
      </c>
      <c r="D1687" s="914" t="s">
        <v>1383</v>
      </c>
      <c r="E1687" s="914">
        <v>41886</v>
      </c>
      <c r="F1687" s="915" t="s">
        <v>487</v>
      </c>
      <c r="G1687" s="936" t="s">
        <v>674</v>
      </c>
      <c r="H1687" s="919" t="s">
        <v>1376</v>
      </c>
      <c r="I1687" s="254">
        <v>307</v>
      </c>
      <c r="J1687" s="254">
        <v>7265.037961139712</v>
      </c>
      <c r="K1687" s="916">
        <f t="shared" si="235"/>
        <v>2230367</v>
      </c>
      <c r="L1687" s="896" t="s">
        <v>169</v>
      </c>
      <c r="M1687" s="935" t="s">
        <v>167</v>
      </c>
      <c r="N1687" s="52" t="str">
        <f>IF(AND('331-CT'!$E$7=TH!H1687,OR(L1687="331",M1687="331")),"331",IF(AND(OR(L1687="131",M1687="131"),H1687='131-CT'!$E$7),"131",""))</f>
        <v/>
      </c>
      <c r="O1687" s="89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>x</v>
      </c>
      <c r="AB1687" s="854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233"/>
        <v>9</v>
      </c>
      <c r="C1688" s="48">
        <f t="shared" si="234"/>
        <v>41890</v>
      </c>
      <c r="D1688" s="914" t="s">
        <v>1383</v>
      </c>
      <c r="E1688" s="914">
        <v>41890</v>
      </c>
      <c r="F1688" s="915" t="s">
        <v>675</v>
      </c>
      <c r="G1688" s="936" t="s">
        <v>676</v>
      </c>
      <c r="H1688" s="919" t="s">
        <v>1376</v>
      </c>
      <c r="I1688" s="254">
        <v>860</v>
      </c>
      <c r="J1688" s="254">
        <v>14774.964842317841</v>
      </c>
      <c r="K1688" s="916">
        <f t="shared" si="235"/>
        <v>12706470</v>
      </c>
      <c r="L1688" s="896" t="s">
        <v>169</v>
      </c>
      <c r="M1688" s="935" t="s">
        <v>167</v>
      </c>
      <c r="N1688" s="52" t="str">
        <f>IF(AND('331-CT'!$E$7=TH!H1688,OR(L1688="331",M1688="331")),"331",IF(AND(OR(L1688="131",M1688="131"),H1688='131-CT'!$E$7),"131",""))</f>
        <v/>
      </c>
      <c r="O1688" s="89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>x</v>
      </c>
      <c r="AB1688" s="854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233"/>
        <v>9</v>
      </c>
      <c r="C1689" s="48">
        <f t="shared" si="234"/>
        <v>41890</v>
      </c>
      <c r="D1689" s="914" t="s">
        <v>1383</v>
      </c>
      <c r="E1689" s="914">
        <v>41890</v>
      </c>
      <c r="F1689" s="915" t="s">
        <v>664</v>
      </c>
      <c r="G1689" s="936" t="s">
        <v>677</v>
      </c>
      <c r="H1689" s="919" t="s">
        <v>1376</v>
      </c>
      <c r="I1689" s="254">
        <v>2153</v>
      </c>
      <c r="J1689" s="254">
        <v>10856.742121703164</v>
      </c>
      <c r="K1689" s="916">
        <f t="shared" si="235"/>
        <v>23374566</v>
      </c>
      <c r="L1689" s="896" t="s">
        <v>169</v>
      </c>
      <c r="M1689" s="935" t="s">
        <v>167</v>
      </c>
      <c r="N1689" s="52" t="str">
        <f>IF(AND('331-CT'!$E$7=TH!H1689,OR(L1689="331",M1689="331")),"331",IF(AND(OR(L1689="131",M1689="131"),H1689='131-CT'!$E$7),"131",""))</f>
        <v/>
      </c>
      <c r="O1689" s="89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>x</v>
      </c>
      <c r="AB1689" s="854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233"/>
        <v>9</v>
      </c>
      <c r="C1690" s="48">
        <f t="shared" si="234"/>
        <v>41890</v>
      </c>
      <c r="D1690" s="914" t="s">
        <v>1383</v>
      </c>
      <c r="E1690" s="914">
        <v>41890</v>
      </c>
      <c r="F1690" s="915" t="s">
        <v>624</v>
      </c>
      <c r="G1690" s="936" t="s">
        <v>677</v>
      </c>
      <c r="H1690" s="919" t="s">
        <v>1376</v>
      </c>
      <c r="I1690" s="254">
        <v>2000</v>
      </c>
      <c r="J1690" s="254">
        <v>489.77784007683448</v>
      </c>
      <c r="K1690" s="916">
        <f t="shared" si="235"/>
        <v>979556</v>
      </c>
      <c r="L1690" s="896" t="s">
        <v>169</v>
      </c>
      <c r="M1690" s="935" t="s">
        <v>167</v>
      </c>
      <c r="N1690" s="52" t="str">
        <f>IF(AND('331-CT'!$E$7=TH!H1690,OR(L1690="331",M1690="331")),"331",IF(AND(OR(L1690="131",M1690="131"),H1690='131-CT'!$E$7),"131",""))</f>
        <v/>
      </c>
      <c r="O1690" s="89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>x</v>
      </c>
      <c r="AB1690" s="854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233"/>
        <v>9</v>
      </c>
      <c r="C1691" s="48">
        <f t="shared" si="234"/>
        <v>41890</v>
      </c>
      <c r="D1691" s="914" t="s">
        <v>1383</v>
      </c>
      <c r="E1691" s="914">
        <v>41890</v>
      </c>
      <c r="F1691" s="915" t="s">
        <v>1162</v>
      </c>
      <c r="G1691" s="936" t="s">
        <v>678</v>
      </c>
      <c r="H1691" s="919" t="s">
        <v>1376</v>
      </c>
      <c r="I1691" s="254">
        <v>1000</v>
      </c>
      <c r="J1691" s="254">
        <v>816.29640012805748</v>
      </c>
      <c r="K1691" s="916">
        <f t="shared" si="235"/>
        <v>816296</v>
      </c>
      <c r="L1691" s="896" t="s">
        <v>169</v>
      </c>
      <c r="M1691" s="935" t="s">
        <v>167</v>
      </c>
      <c r="N1691" s="52" t="str">
        <f>IF(AND('331-CT'!$E$7=TH!H1691,OR(L1691="331",M1691="331")),"331",IF(AND(OR(L1691="131",M1691="131"),H1691='131-CT'!$E$7),"131",""))</f>
        <v/>
      </c>
      <c r="O1691" s="89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>x</v>
      </c>
      <c r="AB1691" s="854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233"/>
        <v>9</v>
      </c>
      <c r="C1692" s="48">
        <f t="shared" si="234"/>
        <v>41894</v>
      </c>
      <c r="D1692" s="914" t="s">
        <v>1383</v>
      </c>
      <c r="E1692" s="914">
        <v>41894</v>
      </c>
      <c r="F1692" s="915" t="s">
        <v>594</v>
      </c>
      <c r="G1692" s="936" t="s">
        <v>680</v>
      </c>
      <c r="H1692" s="919" t="s">
        <v>1376</v>
      </c>
      <c r="I1692" s="254">
        <v>210</v>
      </c>
      <c r="J1692" s="254">
        <v>24407.262363828919</v>
      </c>
      <c r="K1692" s="916">
        <f t="shared" si="235"/>
        <v>5125525</v>
      </c>
      <c r="L1692" s="896" t="s">
        <v>169</v>
      </c>
      <c r="M1692" s="935" t="s">
        <v>167</v>
      </c>
      <c r="N1692" s="52" t="str">
        <f>IF(AND('331-CT'!$E$7=TH!H1692,OR(L1692="331",M1692="331")),"331",IF(AND(OR(L1692="131",M1692="131"),H1692='131-CT'!$E$7),"131",""))</f>
        <v/>
      </c>
      <c r="O1692" s="89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>x</v>
      </c>
      <c r="AB1692" s="854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233"/>
        <v>9</v>
      </c>
      <c r="C1693" s="48">
        <f t="shared" si="234"/>
        <v>41895</v>
      </c>
      <c r="D1693" s="914" t="s">
        <v>1383</v>
      </c>
      <c r="E1693" s="914">
        <v>41895</v>
      </c>
      <c r="F1693" s="915" t="s">
        <v>1211</v>
      </c>
      <c r="G1693" s="936" t="s">
        <v>681</v>
      </c>
      <c r="H1693" s="919" t="s">
        <v>1376</v>
      </c>
      <c r="I1693" s="254">
        <v>200</v>
      </c>
      <c r="J1693" s="254">
        <v>9305.7789614598551</v>
      </c>
      <c r="K1693" s="916">
        <f t="shared" si="235"/>
        <v>1861156</v>
      </c>
      <c r="L1693" s="896" t="s">
        <v>169</v>
      </c>
      <c r="M1693" s="935" t="s">
        <v>167</v>
      </c>
      <c r="N1693" s="52" t="str">
        <f>IF(AND('331-CT'!$E$7=TH!H1693,OR(L1693="331",M1693="331")),"331",IF(AND(OR(L1693="131",M1693="131"),H1693='131-CT'!$E$7),"131",""))</f>
        <v/>
      </c>
      <c r="O1693" s="89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>x</v>
      </c>
      <c r="AB1693" s="854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233"/>
        <v>9</v>
      </c>
      <c r="C1694" s="48">
        <f t="shared" si="234"/>
        <v>41895</v>
      </c>
      <c r="D1694" s="914" t="s">
        <v>1383</v>
      </c>
      <c r="E1694" s="914">
        <v>41895</v>
      </c>
      <c r="F1694" s="915" t="s">
        <v>1211</v>
      </c>
      <c r="G1694" s="936" t="s">
        <v>681</v>
      </c>
      <c r="H1694" s="919" t="s">
        <v>1376</v>
      </c>
      <c r="I1694" s="254">
        <v>989</v>
      </c>
      <c r="J1694" s="254">
        <v>9305.7789614598551</v>
      </c>
      <c r="K1694" s="916">
        <f t="shared" si="235"/>
        <v>9203415</v>
      </c>
      <c r="L1694" s="896" t="s">
        <v>169</v>
      </c>
      <c r="M1694" s="935" t="s">
        <v>167</v>
      </c>
      <c r="N1694" s="52" t="str">
        <f>IF(AND('331-CT'!$E$7=TH!H1694,OR(L1694="331",M1694="331")),"331",IF(AND(OR(L1694="131",M1694="131"),H1694='131-CT'!$E$7),"131",""))</f>
        <v/>
      </c>
      <c r="O1694" s="89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>x</v>
      </c>
      <c r="AB1694" s="854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233"/>
        <v>9</v>
      </c>
      <c r="C1695" s="48">
        <f t="shared" si="234"/>
        <v>41895</v>
      </c>
      <c r="D1695" s="914" t="s">
        <v>1383</v>
      </c>
      <c r="E1695" s="914">
        <v>41895</v>
      </c>
      <c r="F1695" s="915" t="s">
        <v>446</v>
      </c>
      <c r="G1695" s="936" t="s">
        <v>681</v>
      </c>
      <c r="H1695" s="919" t="s">
        <v>1376</v>
      </c>
      <c r="I1695" s="254">
        <v>2400</v>
      </c>
      <c r="J1695" s="254">
        <v>816.29640012805748</v>
      </c>
      <c r="K1695" s="916">
        <f t="shared" si="235"/>
        <v>1959111</v>
      </c>
      <c r="L1695" s="896" t="s">
        <v>169</v>
      </c>
      <c r="M1695" s="935" t="s">
        <v>167</v>
      </c>
      <c r="N1695" s="52" t="str">
        <f>IF(AND('331-CT'!$E$7=TH!H1695,OR(L1695="331",M1695="331")),"331",IF(AND(OR(L1695="131",M1695="131"),H1695='131-CT'!$E$7),"131",""))</f>
        <v/>
      </c>
      <c r="O1695" s="89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>x</v>
      </c>
      <c r="AB1695" s="854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233"/>
        <v>9</v>
      </c>
      <c r="C1696" s="48">
        <f t="shared" si="234"/>
        <v>41897</v>
      </c>
      <c r="D1696" s="914" t="s">
        <v>1383</v>
      </c>
      <c r="E1696" s="914">
        <v>41897</v>
      </c>
      <c r="F1696" s="915" t="s">
        <v>437</v>
      </c>
      <c r="G1696" s="936" t="s">
        <v>682</v>
      </c>
      <c r="H1696" s="919" t="s">
        <v>1376</v>
      </c>
      <c r="I1696" s="254">
        <v>495</v>
      </c>
      <c r="J1696" s="254">
        <v>7754.8158012165459</v>
      </c>
      <c r="K1696" s="916">
        <f t="shared" si="235"/>
        <v>3838634</v>
      </c>
      <c r="L1696" s="896" t="s">
        <v>169</v>
      </c>
      <c r="M1696" s="935" t="s">
        <v>167</v>
      </c>
      <c r="N1696" s="52" t="str">
        <f>IF(AND('331-CT'!$E$7=TH!H1696,OR(L1696="331",M1696="331")),"331",IF(AND(OR(L1696="131",M1696="131"),H1696='131-CT'!$E$7),"131",""))</f>
        <v/>
      </c>
      <c r="O1696" s="89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>x</v>
      </c>
      <c r="AB1696" s="854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233"/>
        <v>9</v>
      </c>
      <c r="C1697" s="48">
        <f t="shared" si="234"/>
        <v>41898</v>
      </c>
      <c r="D1697" s="914" t="s">
        <v>1383</v>
      </c>
      <c r="E1697" s="914">
        <v>41898</v>
      </c>
      <c r="F1697" s="915" t="s">
        <v>683</v>
      </c>
      <c r="G1697" s="936" t="s">
        <v>684</v>
      </c>
      <c r="H1697" s="919" t="s">
        <v>1376</v>
      </c>
      <c r="I1697" s="254">
        <v>451</v>
      </c>
      <c r="J1697" s="254">
        <v>24897.040203905752</v>
      </c>
      <c r="K1697" s="916">
        <f t="shared" si="235"/>
        <v>11228565</v>
      </c>
      <c r="L1697" s="896" t="s">
        <v>169</v>
      </c>
      <c r="M1697" s="935" t="s">
        <v>167</v>
      </c>
      <c r="N1697" s="52" t="str">
        <f>IF(AND('331-CT'!$E$7=TH!H1697,OR(L1697="331",M1697="331")),"331",IF(AND(OR(L1697="131",M1697="131"),H1697='131-CT'!$E$7),"131",""))</f>
        <v/>
      </c>
      <c r="O1697" s="89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54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233"/>
        <v>9</v>
      </c>
      <c r="C1698" s="48">
        <f t="shared" si="234"/>
        <v>41898</v>
      </c>
      <c r="D1698" s="914" t="s">
        <v>1383</v>
      </c>
      <c r="E1698" s="914">
        <v>41898</v>
      </c>
      <c r="F1698" s="915" t="s">
        <v>747</v>
      </c>
      <c r="G1698" s="936" t="s">
        <v>684</v>
      </c>
      <c r="H1698" s="919" t="s">
        <v>1376</v>
      </c>
      <c r="I1698" s="254">
        <v>902</v>
      </c>
      <c r="J1698" s="254">
        <v>1224.4446001920862</v>
      </c>
      <c r="K1698" s="916">
        <f t="shared" si="235"/>
        <v>1104449</v>
      </c>
      <c r="L1698" s="896" t="s">
        <v>169</v>
      </c>
      <c r="M1698" s="935" t="s">
        <v>167</v>
      </c>
      <c r="N1698" s="52" t="str">
        <f>IF(AND('331-CT'!$E$7=TH!H1698,OR(L1698="331",M1698="331")),"331",IF(AND(OR(L1698="131",M1698="131"),H1698='131-CT'!$E$7),"131",""))</f>
        <v/>
      </c>
      <c r="O1698" s="89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54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233"/>
        <v>9</v>
      </c>
      <c r="C1699" s="48">
        <f t="shared" si="234"/>
        <v>41898</v>
      </c>
      <c r="D1699" s="914" t="s">
        <v>1383</v>
      </c>
      <c r="E1699" s="914">
        <v>41898</v>
      </c>
      <c r="F1699" s="915" t="s">
        <v>664</v>
      </c>
      <c r="G1699" s="936" t="s">
        <v>686</v>
      </c>
      <c r="H1699" s="919" t="s">
        <v>1376</v>
      </c>
      <c r="I1699" s="254">
        <v>175</v>
      </c>
      <c r="J1699" s="254">
        <v>10856.742121703164</v>
      </c>
      <c r="K1699" s="916">
        <f t="shared" si="235"/>
        <v>1899930</v>
      </c>
      <c r="L1699" s="896" t="s">
        <v>169</v>
      </c>
      <c r="M1699" s="935" t="s">
        <v>167</v>
      </c>
      <c r="N1699" s="52" t="str">
        <f>IF(AND('331-CT'!$E$7=TH!H1699,OR(L1699="331",M1699="331")),"331",IF(AND(OR(L1699="131",M1699="131"),H1699='131-CT'!$E$7),"131",""))</f>
        <v/>
      </c>
      <c r="O1699" s="89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54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233"/>
        <v>9</v>
      </c>
      <c r="C1700" s="48">
        <f t="shared" si="234"/>
        <v>41898</v>
      </c>
      <c r="D1700" s="914" t="s">
        <v>1383</v>
      </c>
      <c r="E1700" s="914">
        <v>41898</v>
      </c>
      <c r="F1700" s="915" t="s">
        <v>664</v>
      </c>
      <c r="G1700" s="936" t="s">
        <v>686</v>
      </c>
      <c r="H1700" s="919" t="s">
        <v>1376</v>
      </c>
      <c r="I1700" s="254">
        <v>1686</v>
      </c>
      <c r="J1700" s="254">
        <v>10856.742121703164</v>
      </c>
      <c r="K1700" s="916">
        <f t="shared" si="235"/>
        <v>18304467</v>
      </c>
      <c r="L1700" s="896" t="s">
        <v>169</v>
      </c>
      <c r="M1700" s="935" t="s">
        <v>167</v>
      </c>
      <c r="N1700" s="52" t="str">
        <f>IF(AND('331-CT'!$E$7=TH!H1700,OR(L1700="331",M1700="331")),"331",IF(AND(OR(L1700="131",M1700="131"),H1700='131-CT'!$E$7),"131",""))</f>
        <v/>
      </c>
      <c r="O1700" s="89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54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233"/>
        <v>9</v>
      </c>
      <c r="C1701" s="48">
        <f t="shared" si="234"/>
        <v>41898</v>
      </c>
      <c r="D1701" s="914" t="s">
        <v>1383</v>
      </c>
      <c r="E1701" s="914">
        <v>41898</v>
      </c>
      <c r="F1701" s="915" t="s">
        <v>663</v>
      </c>
      <c r="G1701" s="936" t="s">
        <v>686</v>
      </c>
      <c r="H1701" s="919" t="s">
        <v>1376</v>
      </c>
      <c r="I1701" s="254">
        <v>827</v>
      </c>
      <c r="J1701" s="254">
        <v>7836.4454412293517</v>
      </c>
      <c r="K1701" s="916">
        <f t="shared" si="235"/>
        <v>6480740</v>
      </c>
      <c r="L1701" s="896" t="s">
        <v>169</v>
      </c>
      <c r="M1701" s="935" t="s">
        <v>167</v>
      </c>
      <c r="N1701" s="52" t="str">
        <f>IF(AND('331-CT'!$E$7=TH!H1701,OR(L1701="331",M1701="331")),"331",IF(AND(OR(L1701="131",M1701="131"),H1701='131-CT'!$E$7),"131",""))</f>
        <v/>
      </c>
      <c r="O1701" s="89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54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233"/>
        <v>9</v>
      </c>
      <c r="C1702" s="48">
        <f t="shared" si="234"/>
        <v>41898</v>
      </c>
      <c r="D1702" s="914" t="s">
        <v>1383</v>
      </c>
      <c r="E1702" s="914">
        <v>41898</v>
      </c>
      <c r="F1702" s="915" t="s">
        <v>663</v>
      </c>
      <c r="G1702" s="936" t="s">
        <v>686</v>
      </c>
      <c r="H1702" s="919" t="s">
        <v>1376</v>
      </c>
      <c r="I1702" s="254">
        <v>1700</v>
      </c>
      <c r="J1702" s="254">
        <v>7836.4454412293517</v>
      </c>
      <c r="K1702" s="916">
        <f t="shared" si="235"/>
        <v>13321957</v>
      </c>
      <c r="L1702" s="896" t="s">
        <v>169</v>
      </c>
      <c r="M1702" s="935" t="s">
        <v>167</v>
      </c>
      <c r="N1702" s="52" t="str">
        <f>IF(AND('331-CT'!$E$7=TH!H1702,OR(L1702="331",M1702="331")),"331",IF(AND(OR(L1702="131",M1702="131"),H1702='131-CT'!$E$7),"131",""))</f>
        <v/>
      </c>
      <c r="O1702" s="89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54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233"/>
        <v>9</v>
      </c>
      <c r="C1703" s="48">
        <f t="shared" si="234"/>
        <v>41898</v>
      </c>
      <c r="D1703" s="914" t="s">
        <v>1383</v>
      </c>
      <c r="E1703" s="914">
        <v>41898</v>
      </c>
      <c r="F1703" s="915" t="s">
        <v>624</v>
      </c>
      <c r="G1703" s="936" t="s">
        <v>686</v>
      </c>
      <c r="H1703" s="919" t="s">
        <v>1376</v>
      </c>
      <c r="I1703" s="254">
        <v>10500</v>
      </c>
      <c r="J1703" s="254">
        <v>489.77784007683448</v>
      </c>
      <c r="K1703" s="916">
        <f t="shared" si="235"/>
        <v>5142667</v>
      </c>
      <c r="L1703" s="896" t="s">
        <v>169</v>
      </c>
      <c r="M1703" s="935" t="s">
        <v>167</v>
      </c>
      <c r="N1703" s="52" t="str">
        <f>IF(AND('331-CT'!$E$7=TH!H1703,OR(L1703="331",M1703="331")),"331",IF(AND(OR(L1703="131",M1703="131"),H1703='131-CT'!$E$7),"131",""))</f>
        <v/>
      </c>
      <c r="O1703" s="89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54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233"/>
        <v>9</v>
      </c>
      <c r="C1704" s="48">
        <f t="shared" si="234"/>
        <v>41899</v>
      </c>
      <c r="D1704" s="914" t="s">
        <v>1383</v>
      </c>
      <c r="E1704" s="914">
        <v>41899</v>
      </c>
      <c r="F1704" s="915" t="s">
        <v>687</v>
      </c>
      <c r="G1704" s="936" t="s">
        <v>688</v>
      </c>
      <c r="H1704" s="919" t="s">
        <v>1376</v>
      </c>
      <c r="I1704" s="254">
        <v>833</v>
      </c>
      <c r="J1704" s="254">
        <v>19019.706122983738</v>
      </c>
      <c r="K1704" s="916">
        <f t="shared" si="235"/>
        <v>15843415</v>
      </c>
      <c r="L1704" s="896" t="s">
        <v>169</v>
      </c>
      <c r="M1704" s="935" t="s">
        <v>167</v>
      </c>
      <c r="N1704" s="52" t="str">
        <f>IF(AND('331-CT'!$E$7=TH!H1704,OR(L1704="331",M1704="331")),"331",IF(AND(OR(L1704="131",M1704="131"),H1704='131-CT'!$E$7),"131",""))</f>
        <v/>
      </c>
      <c r="O1704" s="89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54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233"/>
        <v>9</v>
      </c>
      <c r="C1705" s="48">
        <f t="shared" si="234"/>
        <v>41900</v>
      </c>
      <c r="D1705" s="914" t="s">
        <v>1383</v>
      </c>
      <c r="E1705" s="914">
        <v>41900</v>
      </c>
      <c r="F1705" s="915" t="s">
        <v>488</v>
      </c>
      <c r="G1705" s="936" t="s">
        <v>690</v>
      </c>
      <c r="H1705" s="919" t="s">
        <v>1376</v>
      </c>
      <c r="I1705" s="254">
        <v>195</v>
      </c>
      <c r="J1705" s="254">
        <v>7591.5565211909352</v>
      </c>
      <c r="K1705" s="916">
        <f t="shared" si="235"/>
        <v>1480354</v>
      </c>
      <c r="L1705" s="896" t="s">
        <v>169</v>
      </c>
      <c r="M1705" s="935" t="s">
        <v>167</v>
      </c>
      <c r="N1705" s="52" t="str">
        <f>IF(AND('331-CT'!$E$7=TH!H1705,OR(L1705="331",M1705="331")),"331",IF(AND(OR(L1705="131",M1705="131"),H1705='131-CT'!$E$7),"131",""))</f>
        <v/>
      </c>
      <c r="O1705" s="89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54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233"/>
        <v>9</v>
      </c>
      <c r="C1706" s="48">
        <f t="shared" si="234"/>
        <v>41900</v>
      </c>
      <c r="D1706" s="914" t="s">
        <v>1383</v>
      </c>
      <c r="E1706" s="914">
        <v>41900</v>
      </c>
      <c r="F1706" s="915" t="s">
        <v>495</v>
      </c>
      <c r="G1706" s="936" t="s">
        <v>690</v>
      </c>
      <c r="H1706" s="919" t="s">
        <v>1376</v>
      </c>
      <c r="I1706" s="254">
        <v>300</v>
      </c>
      <c r="J1706" s="254">
        <v>7101.7786811141004</v>
      </c>
      <c r="K1706" s="916">
        <f t="shared" si="235"/>
        <v>2130534</v>
      </c>
      <c r="L1706" s="896" t="s">
        <v>169</v>
      </c>
      <c r="M1706" s="935" t="s">
        <v>167</v>
      </c>
      <c r="N1706" s="52" t="str">
        <f>IF(AND('331-CT'!$E$7=TH!H1706,OR(L1706="331",M1706="331")),"331",IF(AND(OR(L1706="131",M1706="131"),H1706='131-CT'!$E$7),"131",""))</f>
        <v/>
      </c>
      <c r="O1706" s="89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54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233"/>
        <v>9</v>
      </c>
      <c r="C1707" s="48">
        <f t="shared" si="234"/>
        <v>41904</v>
      </c>
      <c r="D1707" s="914" t="s">
        <v>1383</v>
      </c>
      <c r="E1707" s="914">
        <v>41904</v>
      </c>
      <c r="F1707" s="915" t="s">
        <v>691</v>
      </c>
      <c r="G1707" s="936" t="s">
        <v>692</v>
      </c>
      <c r="H1707" s="919" t="s">
        <v>1376</v>
      </c>
      <c r="I1707" s="254">
        <v>314</v>
      </c>
      <c r="J1707" s="254">
        <v>5958.9637209348193</v>
      </c>
      <c r="K1707" s="916">
        <f t="shared" si="235"/>
        <v>1871115</v>
      </c>
      <c r="L1707" s="896" t="s">
        <v>169</v>
      </c>
      <c r="M1707" s="935" t="s">
        <v>167</v>
      </c>
      <c r="N1707" s="52" t="str">
        <f>IF(AND('331-CT'!$E$7=TH!H1707,OR(L1707="331",M1707="331")),"331",IF(AND(OR(L1707="131",M1707="131"),H1707='131-CT'!$E$7),"131",""))</f>
        <v/>
      </c>
      <c r="O1707" s="89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54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233"/>
        <v>9</v>
      </c>
      <c r="C1708" s="48">
        <f t="shared" si="234"/>
        <v>41904</v>
      </c>
      <c r="D1708" s="914" t="s">
        <v>1383</v>
      </c>
      <c r="E1708" s="914">
        <v>41904</v>
      </c>
      <c r="F1708" s="915" t="s">
        <v>693</v>
      </c>
      <c r="G1708" s="936" t="s">
        <v>692</v>
      </c>
      <c r="H1708" s="919" t="s">
        <v>1376</v>
      </c>
      <c r="I1708" s="254">
        <v>103</v>
      </c>
      <c r="J1708" s="254">
        <v>5305.9266008323739</v>
      </c>
      <c r="K1708" s="916">
        <f t="shared" si="235"/>
        <v>546510</v>
      </c>
      <c r="L1708" s="896" t="s">
        <v>169</v>
      </c>
      <c r="M1708" s="935" t="s">
        <v>167</v>
      </c>
      <c r="N1708" s="52" t="str">
        <f>IF(AND('331-CT'!$E$7=TH!H1708,OR(L1708="331",M1708="331")),"331",IF(AND(OR(L1708="131",M1708="131"),H1708='131-CT'!$E$7),"131",""))</f>
        <v/>
      </c>
      <c r="O1708" s="89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54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233"/>
        <v>9</v>
      </c>
      <c r="C1709" s="48">
        <f t="shared" si="234"/>
        <v>41904</v>
      </c>
      <c r="D1709" s="914" t="s">
        <v>1383</v>
      </c>
      <c r="E1709" s="914">
        <v>41904</v>
      </c>
      <c r="F1709" s="915" t="s">
        <v>694</v>
      </c>
      <c r="G1709" s="936" t="s">
        <v>692</v>
      </c>
      <c r="H1709" s="919" t="s">
        <v>1376</v>
      </c>
      <c r="I1709" s="254">
        <v>497</v>
      </c>
      <c r="J1709" s="254">
        <v>4408.0005606915111</v>
      </c>
      <c r="K1709" s="916">
        <f t="shared" si="235"/>
        <v>2190776</v>
      </c>
      <c r="L1709" s="896" t="s">
        <v>169</v>
      </c>
      <c r="M1709" s="935" t="s">
        <v>167</v>
      </c>
      <c r="N1709" s="52" t="str">
        <f>IF(AND('331-CT'!$E$7=TH!H1709,OR(L1709="331",M1709="331")),"331",IF(AND(OR(L1709="131",M1709="131"),H1709='131-CT'!$E$7),"131",""))</f>
        <v/>
      </c>
      <c r="O1709" s="89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54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233"/>
        <v>9</v>
      </c>
      <c r="C1710" s="48">
        <f t="shared" si="234"/>
        <v>41904</v>
      </c>
      <c r="D1710" s="914" t="s">
        <v>1383</v>
      </c>
      <c r="E1710" s="914">
        <v>41904</v>
      </c>
      <c r="F1710" s="915" t="s">
        <v>695</v>
      </c>
      <c r="G1710" s="936" t="s">
        <v>692</v>
      </c>
      <c r="H1710" s="919" t="s">
        <v>1376</v>
      </c>
      <c r="I1710" s="254">
        <v>300</v>
      </c>
      <c r="J1710" s="254">
        <v>3836.59308060187</v>
      </c>
      <c r="K1710" s="916">
        <f t="shared" si="235"/>
        <v>1150978</v>
      </c>
      <c r="L1710" s="896" t="s">
        <v>169</v>
      </c>
      <c r="M1710" s="935" t="s">
        <v>167</v>
      </c>
      <c r="N1710" s="52" t="str">
        <f>IF(AND('331-CT'!$E$7=TH!H1710,OR(L1710="331",M1710="331")),"331",IF(AND(OR(L1710="131",M1710="131"),H1710='131-CT'!$E$7),"131",""))</f>
        <v/>
      </c>
      <c r="O1710" s="89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54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233"/>
        <v>9</v>
      </c>
      <c r="C1711" s="48">
        <f t="shared" si="234"/>
        <v>41905</v>
      </c>
      <c r="D1711" s="914" t="s">
        <v>1383</v>
      </c>
      <c r="E1711" s="914">
        <v>41905</v>
      </c>
      <c r="F1711" s="915" t="s">
        <v>696</v>
      </c>
      <c r="G1711" s="936" t="s">
        <v>697</v>
      </c>
      <c r="H1711" s="919" t="s">
        <v>1376</v>
      </c>
      <c r="I1711" s="254">
        <v>184</v>
      </c>
      <c r="J1711" s="254">
        <v>19836.002523111798</v>
      </c>
      <c r="K1711" s="916">
        <f t="shared" si="235"/>
        <v>3649824</v>
      </c>
      <c r="L1711" s="896" t="s">
        <v>169</v>
      </c>
      <c r="M1711" s="935" t="s">
        <v>167</v>
      </c>
      <c r="N1711" s="52" t="str">
        <f>IF(AND('331-CT'!$E$7=TH!H1711,OR(L1711="331",M1711="331")),"331",IF(AND(OR(L1711="131",M1711="131"),H1711='131-CT'!$E$7),"131",""))</f>
        <v/>
      </c>
      <c r="O1711" s="89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54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233"/>
        <v>9</v>
      </c>
      <c r="C1712" s="48">
        <f t="shared" si="234"/>
        <v>41905</v>
      </c>
      <c r="D1712" s="914" t="s">
        <v>1383</v>
      </c>
      <c r="E1712" s="914">
        <v>41905</v>
      </c>
      <c r="F1712" s="915" t="s">
        <v>747</v>
      </c>
      <c r="G1712" s="936" t="s">
        <v>697</v>
      </c>
      <c r="H1712" s="919" t="s">
        <v>1376</v>
      </c>
      <c r="I1712" s="254">
        <v>368</v>
      </c>
      <c r="J1712" s="254">
        <v>1224.4446001920862</v>
      </c>
      <c r="K1712" s="916">
        <f t="shared" si="235"/>
        <v>450596</v>
      </c>
      <c r="L1712" s="896" t="s">
        <v>169</v>
      </c>
      <c r="M1712" s="935" t="s">
        <v>167</v>
      </c>
      <c r="N1712" s="52" t="str">
        <f>IF(AND('331-CT'!$E$7=TH!H1712,OR(L1712="331",M1712="331")),"331",IF(AND(OR(L1712="131",M1712="131"),H1712='131-CT'!$E$7),"131",""))</f>
        <v/>
      </c>
      <c r="O1712" s="89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54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233"/>
        <v>9</v>
      </c>
      <c r="C1713" s="48">
        <f t="shared" si="234"/>
        <v>41905</v>
      </c>
      <c r="D1713" s="914" t="s">
        <v>1383</v>
      </c>
      <c r="E1713" s="914">
        <v>41905</v>
      </c>
      <c r="F1713" s="915" t="s">
        <v>683</v>
      </c>
      <c r="G1713" s="936" t="s">
        <v>698</v>
      </c>
      <c r="H1713" s="919" t="s">
        <v>1376</v>
      </c>
      <c r="I1713" s="254">
        <v>13</v>
      </c>
      <c r="J1713" s="254">
        <v>24897.040203905752</v>
      </c>
      <c r="K1713" s="916">
        <f t="shared" si="235"/>
        <v>323662</v>
      </c>
      <c r="L1713" s="896" t="s">
        <v>169</v>
      </c>
      <c r="M1713" s="935" t="s">
        <v>167</v>
      </c>
      <c r="N1713" s="52" t="str">
        <f>IF(AND('331-CT'!$E$7=TH!H1713,OR(L1713="331",M1713="331")),"331",IF(AND(OR(L1713="131",M1713="131"),H1713='131-CT'!$E$7),"131",""))</f>
        <v/>
      </c>
      <c r="O1713" s="89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54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233"/>
        <v>9</v>
      </c>
      <c r="C1714" s="48">
        <f t="shared" si="234"/>
        <v>41907</v>
      </c>
      <c r="D1714" s="914" t="s">
        <v>1383</v>
      </c>
      <c r="E1714" s="914">
        <v>41907</v>
      </c>
      <c r="F1714" s="915" t="s">
        <v>516</v>
      </c>
      <c r="G1714" s="936" t="s">
        <v>699</v>
      </c>
      <c r="H1714" s="919" t="s">
        <v>1376</v>
      </c>
      <c r="I1714" s="254">
        <v>994</v>
      </c>
      <c r="J1714" s="254">
        <v>9387.4086014726599</v>
      </c>
      <c r="K1714" s="916">
        <f t="shared" si="235"/>
        <v>9331084</v>
      </c>
      <c r="L1714" s="896" t="s">
        <v>169</v>
      </c>
      <c r="M1714" s="935" t="s">
        <v>167</v>
      </c>
      <c r="N1714" s="52" t="str">
        <f>IF(AND('331-CT'!$E$7=TH!H1714,OR(L1714="331",M1714="331")),"331",IF(AND(OR(L1714="131",M1714="131"),H1714='131-CT'!$E$7),"131",""))</f>
        <v/>
      </c>
      <c r="O1714" s="89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54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233"/>
        <v>9</v>
      </c>
      <c r="C1715" s="48">
        <f t="shared" si="234"/>
        <v>41908</v>
      </c>
      <c r="D1715" s="914" t="s">
        <v>1383</v>
      </c>
      <c r="E1715" s="914">
        <v>41908</v>
      </c>
      <c r="F1715" s="915" t="s">
        <v>640</v>
      </c>
      <c r="G1715" s="936" t="s">
        <v>700</v>
      </c>
      <c r="H1715" s="919" t="s">
        <v>1376</v>
      </c>
      <c r="I1715" s="254">
        <v>1500</v>
      </c>
      <c r="J1715" s="254">
        <v>4163.1116406530937</v>
      </c>
      <c r="K1715" s="916">
        <f t="shared" si="235"/>
        <v>6244667</v>
      </c>
      <c r="L1715" s="896" t="s">
        <v>169</v>
      </c>
      <c r="M1715" s="935" t="s">
        <v>167</v>
      </c>
      <c r="N1715" s="52" t="str">
        <f>IF(AND('331-CT'!$E$7=TH!H1715,OR(L1715="331",M1715="331")),"331",IF(AND(OR(L1715="131",M1715="131"),H1715='131-CT'!$E$7),"131",""))</f>
        <v/>
      </c>
      <c r="O1715" s="89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54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233"/>
        <v>9</v>
      </c>
      <c r="C1716" s="48">
        <f t="shared" si="234"/>
        <v>41908</v>
      </c>
      <c r="D1716" s="914" t="s">
        <v>1383</v>
      </c>
      <c r="E1716" s="914">
        <v>41908</v>
      </c>
      <c r="F1716" s="915" t="s">
        <v>501</v>
      </c>
      <c r="G1716" s="936" t="s">
        <v>701</v>
      </c>
      <c r="H1716" s="919" t="s">
        <v>1376</v>
      </c>
      <c r="I1716" s="254">
        <v>399</v>
      </c>
      <c r="J1716" s="254">
        <v>6856.8897610756831</v>
      </c>
      <c r="K1716" s="916">
        <f t="shared" si="235"/>
        <v>2735899</v>
      </c>
      <c r="L1716" s="896" t="s">
        <v>169</v>
      </c>
      <c r="M1716" s="935" t="s">
        <v>167</v>
      </c>
      <c r="N1716" s="52" t="str">
        <f>IF(AND('331-CT'!$E$7=TH!H1716,OR(L1716="331",M1716="331")),"331",IF(AND(OR(L1716="131",M1716="131"),H1716='131-CT'!$E$7),"131",""))</f>
        <v/>
      </c>
      <c r="O1716" s="89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54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233"/>
        <v>9</v>
      </c>
      <c r="C1717" s="48">
        <f t="shared" si="234"/>
        <v>41908</v>
      </c>
      <c r="D1717" s="914" t="s">
        <v>1383</v>
      </c>
      <c r="E1717" s="914">
        <v>41908</v>
      </c>
      <c r="F1717" s="915" t="s">
        <v>504</v>
      </c>
      <c r="G1717" s="936" t="s">
        <v>701</v>
      </c>
      <c r="H1717" s="919" t="s">
        <v>1376</v>
      </c>
      <c r="I1717" s="254">
        <v>295</v>
      </c>
      <c r="J1717" s="254">
        <v>7346.6676011525178</v>
      </c>
      <c r="K1717" s="916">
        <f t="shared" si="235"/>
        <v>2167267</v>
      </c>
      <c r="L1717" s="896" t="s">
        <v>169</v>
      </c>
      <c r="M1717" s="935" t="s">
        <v>167</v>
      </c>
      <c r="N1717" s="52" t="str">
        <f>IF(AND('331-CT'!$E$7=TH!H1717,OR(L1717="331",M1717="331")),"331",IF(AND(OR(L1717="131",M1717="131"),H1717='131-CT'!$E$7),"131",""))</f>
        <v/>
      </c>
      <c r="O1717" s="89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54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233"/>
        <v>9</v>
      </c>
      <c r="C1718" s="48">
        <f t="shared" si="234"/>
        <v>41908</v>
      </c>
      <c r="D1718" s="914" t="s">
        <v>1383</v>
      </c>
      <c r="E1718" s="914">
        <v>41908</v>
      </c>
      <c r="F1718" s="915" t="s">
        <v>505</v>
      </c>
      <c r="G1718" s="936" t="s">
        <v>701</v>
      </c>
      <c r="H1718" s="919" t="s">
        <v>1376</v>
      </c>
      <c r="I1718" s="254">
        <v>200</v>
      </c>
      <c r="J1718" s="254">
        <v>7591.5565211909352</v>
      </c>
      <c r="K1718" s="916">
        <f t="shared" si="235"/>
        <v>1518311</v>
      </c>
      <c r="L1718" s="896" t="s">
        <v>169</v>
      </c>
      <c r="M1718" s="935" t="s">
        <v>167</v>
      </c>
      <c r="N1718" s="52" t="str">
        <f>IF(AND('331-CT'!$E$7=TH!H1718,OR(L1718="331",M1718="331")),"331",IF(AND(OR(L1718="131",M1718="131"),H1718='131-CT'!$E$7),"131",""))</f>
        <v/>
      </c>
      <c r="O1718" s="89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54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233"/>
        <v>9</v>
      </c>
      <c r="C1719" s="48">
        <f t="shared" si="234"/>
        <v>41908</v>
      </c>
      <c r="D1719" s="914" t="s">
        <v>1383</v>
      </c>
      <c r="E1719" s="914">
        <v>41908</v>
      </c>
      <c r="F1719" s="915" t="s">
        <v>406</v>
      </c>
      <c r="G1719" s="936" t="s">
        <v>701</v>
      </c>
      <c r="H1719" s="919" t="s">
        <v>1376</v>
      </c>
      <c r="I1719" s="254">
        <v>298</v>
      </c>
      <c r="J1719" s="254">
        <v>8326.2232813061873</v>
      </c>
      <c r="K1719" s="916">
        <f t="shared" si="235"/>
        <v>2481215</v>
      </c>
      <c r="L1719" s="896" t="s">
        <v>169</v>
      </c>
      <c r="M1719" s="935" t="s">
        <v>167</v>
      </c>
      <c r="N1719" s="52" t="str">
        <f>IF(AND('331-CT'!$E$7=TH!H1719,OR(L1719="331",M1719="331")),"331",IF(AND(OR(L1719="131",M1719="131"),H1719='131-CT'!$E$7),"131",""))</f>
        <v/>
      </c>
      <c r="O1719" s="89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54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233"/>
        <v>9</v>
      </c>
      <c r="C1720" s="48">
        <f t="shared" si="234"/>
        <v>41908</v>
      </c>
      <c r="D1720" s="914" t="s">
        <v>1383</v>
      </c>
      <c r="E1720" s="914">
        <v>41908</v>
      </c>
      <c r="F1720" s="915" t="s">
        <v>702</v>
      </c>
      <c r="G1720" s="936" t="s">
        <v>701</v>
      </c>
      <c r="H1720" s="919" t="s">
        <v>1376</v>
      </c>
      <c r="I1720" s="254">
        <v>360</v>
      </c>
      <c r="J1720" s="254">
        <v>5795.7044409092077</v>
      </c>
      <c r="K1720" s="916">
        <f t="shared" si="235"/>
        <v>2086454</v>
      </c>
      <c r="L1720" s="896" t="s">
        <v>169</v>
      </c>
      <c r="M1720" s="935" t="s">
        <v>167</v>
      </c>
      <c r="N1720" s="52" t="str">
        <f>IF(AND('331-CT'!$E$7=TH!H1720,OR(L1720="331",M1720="331")),"331",IF(AND(OR(L1720="131",M1720="131"),H1720='131-CT'!$E$7),"131",""))</f>
        <v/>
      </c>
      <c r="O1720" s="89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54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233"/>
        <v>9</v>
      </c>
      <c r="C1721" s="48">
        <f t="shared" si="234"/>
        <v>41908</v>
      </c>
      <c r="D1721" s="914" t="s">
        <v>1383</v>
      </c>
      <c r="E1721" s="914">
        <v>41908</v>
      </c>
      <c r="F1721" s="915" t="s">
        <v>437</v>
      </c>
      <c r="G1721" s="936" t="s">
        <v>703</v>
      </c>
      <c r="H1721" s="919" t="s">
        <v>1376</v>
      </c>
      <c r="I1721" s="254">
        <v>498</v>
      </c>
      <c r="J1721" s="254">
        <v>7754.8158012165459</v>
      </c>
      <c r="K1721" s="916">
        <f t="shared" si="235"/>
        <v>3861898</v>
      </c>
      <c r="L1721" s="896" t="s">
        <v>169</v>
      </c>
      <c r="M1721" s="935" t="s">
        <v>167</v>
      </c>
      <c r="N1721" s="52" t="str">
        <f>IF(AND('331-CT'!$E$7=TH!H1721,OR(L1721="331",M1721="331")),"331",IF(AND(OR(L1721="131",M1721="131"),H1721='131-CT'!$E$7),"131",""))</f>
        <v/>
      </c>
      <c r="O1721" s="89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54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233"/>
        <v>9</v>
      </c>
      <c r="C1722" s="48">
        <f t="shared" si="234"/>
        <v>41908</v>
      </c>
      <c r="D1722" s="914" t="s">
        <v>1383</v>
      </c>
      <c r="E1722" s="914">
        <v>41908</v>
      </c>
      <c r="F1722" s="915" t="s">
        <v>567</v>
      </c>
      <c r="G1722" s="936" t="s">
        <v>703</v>
      </c>
      <c r="H1722" s="919" t="s">
        <v>1376</v>
      </c>
      <c r="I1722" s="254">
        <v>493</v>
      </c>
      <c r="J1722" s="254">
        <v>7918.0750812421575</v>
      </c>
      <c r="K1722" s="916">
        <f t="shared" si="235"/>
        <v>3903611</v>
      </c>
      <c r="L1722" s="896" t="s">
        <v>169</v>
      </c>
      <c r="M1722" s="935" t="s">
        <v>167</v>
      </c>
      <c r="N1722" s="52" t="str">
        <f>IF(AND('331-CT'!$E$7=TH!H1722,OR(L1722="331",M1722="331")),"331",IF(AND(OR(L1722="131",M1722="131"),H1722='131-CT'!$E$7),"131",""))</f>
        <v/>
      </c>
      <c r="O1722" s="89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54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ref="B1723:B1786" si="236">IF(C1723&lt;&gt;"",MONTH(C1723),"")</f>
        <v>9</v>
      </c>
      <c r="C1723" s="48">
        <f t="shared" si="234"/>
        <v>41908</v>
      </c>
      <c r="D1723" s="914" t="s">
        <v>1383</v>
      </c>
      <c r="E1723" s="914">
        <v>41908</v>
      </c>
      <c r="F1723" s="915" t="s">
        <v>704</v>
      </c>
      <c r="G1723" s="936" t="s">
        <v>705</v>
      </c>
      <c r="H1723" s="919" t="s">
        <v>1376</v>
      </c>
      <c r="I1723" s="254">
        <v>51</v>
      </c>
      <c r="J1723" s="254">
        <v>7509.9268811781294</v>
      </c>
      <c r="K1723" s="916">
        <f t="shared" si="235"/>
        <v>383006</v>
      </c>
      <c r="L1723" s="896" t="s">
        <v>169</v>
      </c>
      <c r="M1723" s="935" t="s">
        <v>167</v>
      </c>
      <c r="N1723" s="52" t="str">
        <f>IF(AND('331-CT'!$E$7=TH!H1723,OR(L1723="331",M1723="331")),"331",IF(AND(OR(L1723="131",M1723="131"),H1723='131-CT'!$E$7),"131",""))</f>
        <v/>
      </c>
      <c r="O1723" s="89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54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236"/>
        <v>9</v>
      </c>
      <c r="C1724" s="48">
        <f t="shared" si="234"/>
        <v>41908</v>
      </c>
      <c r="D1724" s="914" t="s">
        <v>1383</v>
      </c>
      <c r="E1724" s="914">
        <v>41908</v>
      </c>
      <c r="F1724" s="915" t="s">
        <v>706</v>
      </c>
      <c r="G1724" s="936" t="s">
        <v>705</v>
      </c>
      <c r="H1724" s="919" t="s">
        <v>1376</v>
      </c>
      <c r="I1724" s="254">
        <v>313</v>
      </c>
      <c r="J1724" s="254">
        <v>10530.223561651941</v>
      </c>
      <c r="K1724" s="916">
        <f t="shared" si="235"/>
        <v>3295960</v>
      </c>
      <c r="L1724" s="896" t="s">
        <v>169</v>
      </c>
      <c r="M1724" s="935" t="s">
        <v>167</v>
      </c>
      <c r="N1724" s="52" t="str">
        <f>IF(AND('331-CT'!$E$7=TH!H1724,OR(L1724="331",M1724="331")),"331",IF(AND(OR(L1724="131",M1724="131"),H1724='131-CT'!$E$7),"131",""))</f>
        <v/>
      </c>
      <c r="O1724" s="89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54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236"/>
        <v>9</v>
      </c>
      <c r="C1725" s="48">
        <f t="shared" si="234"/>
        <v>41908</v>
      </c>
      <c r="D1725" s="914" t="s">
        <v>1383</v>
      </c>
      <c r="E1725" s="914">
        <v>41908</v>
      </c>
      <c r="F1725" s="915" t="s">
        <v>707</v>
      </c>
      <c r="G1725" s="936" t="s">
        <v>705</v>
      </c>
      <c r="H1725" s="919" t="s">
        <v>1376</v>
      </c>
      <c r="I1725" s="254">
        <v>113</v>
      </c>
      <c r="J1725" s="254">
        <v>7918.0750812421575</v>
      </c>
      <c r="K1725" s="916">
        <f t="shared" si="235"/>
        <v>894742</v>
      </c>
      <c r="L1725" s="896" t="s">
        <v>169</v>
      </c>
      <c r="M1725" s="935" t="s">
        <v>167</v>
      </c>
      <c r="N1725" s="52" t="str">
        <f>IF(AND('331-CT'!$E$7=TH!H1725,OR(L1725="331",M1725="331")),"331",IF(AND(OR(L1725="131",M1725="131"),H1725='131-CT'!$E$7),"131",""))</f>
        <v/>
      </c>
      <c r="O1725" s="89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54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236"/>
        <v>9</v>
      </c>
      <c r="C1726" s="48">
        <f t="shared" si="234"/>
        <v>41908</v>
      </c>
      <c r="D1726" s="914" t="s">
        <v>1383</v>
      </c>
      <c r="E1726" s="914">
        <v>41908</v>
      </c>
      <c r="F1726" s="915" t="s">
        <v>708</v>
      </c>
      <c r="G1726" s="936" t="s">
        <v>705</v>
      </c>
      <c r="H1726" s="919" t="s">
        <v>1376</v>
      </c>
      <c r="I1726" s="254">
        <v>21</v>
      </c>
      <c r="J1726" s="254">
        <v>10530.223561651941</v>
      </c>
      <c r="K1726" s="916">
        <f t="shared" si="235"/>
        <v>221135</v>
      </c>
      <c r="L1726" s="896" t="s">
        <v>169</v>
      </c>
      <c r="M1726" s="935" t="s">
        <v>167</v>
      </c>
      <c r="N1726" s="52" t="str">
        <f>IF(AND('331-CT'!$E$7=TH!H1726,OR(L1726="331",M1726="331")),"331",IF(AND(OR(L1726="131",M1726="131"),H1726='131-CT'!$E$7),"131",""))</f>
        <v/>
      </c>
      <c r="O1726" s="89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54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236"/>
        <v>9</v>
      </c>
      <c r="C1727" s="48">
        <f t="shared" si="234"/>
        <v>41908</v>
      </c>
      <c r="D1727" s="914" t="s">
        <v>1383</v>
      </c>
      <c r="E1727" s="914">
        <v>41908</v>
      </c>
      <c r="F1727" s="915" t="s">
        <v>709</v>
      </c>
      <c r="G1727" s="936" t="s">
        <v>705</v>
      </c>
      <c r="H1727" s="919" t="s">
        <v>1376</v>
      </c>
      <c r="I1727" s="254">
        <v>35</v>
      </c>
      <c r="J1727" s="254">
        <v>9224.1493214470484</v>
      </c>
      <c r="K1727" s="916">
        <f t="shared" si="235"/>
        <v>322845</v>
      </c>
      <c r="L1727" s="896" t="s">
        <v>169</v>
      </c>
      <c r="M1727" s="935" t="s">
        <v>167</v>
      </c>
      <c r="N1727" s="52" t="str">
        <f>IF(AND('331-CT'!$E$7=TH!H1727,OR(L1727="331",M1727="331")),"331",IF(AND(OR(L1727="131",M1727="131"),H1727='131-CT'!$E$7),"131",""))</f>
        <v/>
      </c>
      <c r="O1727" s="89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54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236"/>
        <v>9</v>
      </c>
      <c r="C1728" s="48">
        <f t="shared" si="234"/>
        <v>41908</v>
      </c>
      <c r="D1728" s="914" t="s">
        <v>1383</v>
      </c>
      <c r="E1728" s="914">
        <v>41908</v>
      </c>
      <c r="F1728" s="915" t="s">
        <v>710</v>
      </c>
      <c r="G1728" s="936" t="s">
        <v>705</v>
      </c>
      <c r="H1728" s="919" t="s">
        <v>1376</v>
      </c>
      <c r="I1728" s="254">
        <v>33</v>
      </c>
      <c r="J1728" s="254">
        <v>9713.9271615238831</v>
      </c>
      <c r="K1728" s="916">
        <f t="shared" si="235"/>
        <v>320560</v>
      </c>
      <c r="L1728" s="896" t="s">
        <v>169</v>
      </c>
      <c r="M1728" s="935" t="s">
        <v>167</v>
      </c>
      <c r="N1728" s="52" t="str">
        <f>IF(AND('331-CT'!$E$7=TH!H1728,OR(L1728="331",M1728="331")),"331",IF(AND(OR(L1728="131",M1728="131"),H1728='131-CT'!$E$7),"131",""))</f>
        <v/>
      </c>
      <c r="O1728" s="89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54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236"/>
        <v>9</v>
      </c>
      <c r="C1729" s="48">
        <f t="shared" si="234"/>
        <v>41908</v>
      </c>
      <c r="D1729" s="914" t="s">
        <v>1383</v>
      </c>
      <c r="E1729" s="914">
        <v>41908</v>
      </c>
      <c r="F1729" s="915" t="s">
        <v>587</v>
      </c>
      <c r="G1729" s="936" t="s">
        <v>705</v>
      </c>
      <c r="H1729" s="919" t="s">
        <v>1376</v>
      </c>
      <c r="I1729" s="254">
        <v>762</v>
      </c>
      <c r="J1729" s="254">
        <v>10122.075361587913</v>
      </c>
      <c r="K1729" s="916">
        <f t="shared" si="235"/>
        <v>7713021</v>
      </c>
      <c r="L1729" s="896" t="s">
        <v>169</v>
      </c>
      <c r="M1729" s="935" t="s">
        <v>167</v>
      </c>
      <c r="N1729" s="52" t="str">
        <f>IF(AND('331-CT'!$E$7=TH!H1729,OR(L1729="331",M1729="331")),"331",IF(AND(OR(L1729="131",M1729="131"),H1729='131-CT'!$E$7),"131",""))</f>
        <v/>
      </c>
      <c r="O1729" s="89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54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236"/>
        <v>9</v>
      </c>
      <c r="C1730" s="48">
        <f t="shared" si="234"/>
        <v>41908</v>
      </c>
      <c r="D1730" s="914" t="s">
        <v>1383</v>
      </c>
      <c r="E1730" s="914">
        <v>41908</v>
      </c>
      <c r="F1730" s="915" t="s">
        <v>711</v>
      </c>
      <c r="G1730" s="936" t="s">
        <v>705</v>
      </c>
      <c r="H1730" s="919" t="s">
        <v>1376</v>
      </c>
      <c r="I1730" s="254">
        <v>145</v>
      </c>
      <c r="J1730" s="254">
        <v>10530.223561651941</v>
      </c>
      <c r="K1730" s="916">
        <f t="shared" si="235"/>
        <v>1526882</v>
      </c>
      <c r="L1730" s="896" t="s">
        <v>169</v>
      </c>
      <c r="M1730" s="935" t="s">
        <v>167</v>
      </c>
      <c r="N1730" s="52" t="str">
        <f>IF(AND('331-CT'!$E$7=TH!H1730,OR(L1730="331",M1730="331")),"331",IF(AND(OR(L1730="131",M1730="131"),H1730='131-CT'!$E$7),"131",""))</f>
        <v/>
      </c>
      <c r="O1730" s="89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54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236"/>
        <v>9</v>
      </c>
      <c r="C1731" s="48">
        <f t="shared" ref="C1731:C1737" si="237">E1731</f>
        <v>41909</v>
      </c>
      <c r="D1731" s="914" t="s">
        <v>1383</v>
      </c>
      <c r="E1731" s="914">
        <v>41909</v>
      </c>
      <c r="F1731" s="915" t="s">
        <v>460</v>
      </c>
      <c r="G1731" s="936" t="s">
        <v>712</v>
      </c>
      <c r="H1731" s="919" t="s">
        <v>1376</v>
      </c>
      <c r="I1731" s="254">
        <v>1007</v>
      </c>
      <c r="J1731" s="254">
        <v>7509.9268811781294</v>
      </c>
      <c r="K1731" s="916">
        <f t="shared" ref="K1731:K1737" si="238">ROUND(I1731*J1731,0)</f>
        <v>7562496</v>
      </c>
      <c r="L1731" s="896" t="s">
        <v>169</v>
      </c>
      <c r="M1731" s="935" t="s">
        <v>167</v>
      </c>
      <c r="N1731" s="52" t="str">
        <f>IF(AND('331-CT'!$E$7=TH!H1731,OR(L1731="331",M1731="331")),"331",IF(AND(OR(L1731="131",M1731="131"),H1731='131-CT'!$E$7),"131",""))</f>
        <v/>
      </c>
      <c r="O1731" s="89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54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236"/>
        <v>9</v>
      </c>
      <c r="C1732" s="48">
        <f t="shared" si="237"/>
        <v>41912</v>
      </c>
      <c r="D1732" s="914" t="s">
        <v>1383</v>
      </c>
      <c r="E1732" s="914">
        <v>41912</v>
      </c>
      <c r="F1732" s="915" t="s">
        <v>713</v>
      </c>
      <c r="G1732" s="936" t="s">
        <v>714</v>
      </c>
      <c r="H1732" s="919" t="s">
        <v>1376</v>
      </c>
      <c r="I1732" s="254">
        <v>264</v>
      </c>
      <c r="J1732" s="254">
        <v>9877.1864415494947</v>
      </c>
      <c r="K1732" s="916">
        <f t="shared" si="238"/>
        <v>2607577</v>
      </c>
      <c r="L1732" s="896" t="s">
        <v>169</v>
      </c>
      <c r="M1732" s="935" t="s">
        <v>167</v>
      </c>
      <c r="N1732" s="52" t="str">
        <f>IF(AND('331-CT'!$E$7=TH!H1732,OR(L1732="331",M1732="331")),"331",IF(AND(OR(L1732="131",M1732="131"),H1732='131-CT'!$E$7),"131",""))</f>
        <v/>
      </c>
      <c r="O1732" s="89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54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236"/>
        <v>9</v>
      </c>
      <c r="C1733" s="48">
        <f t="shared" si="237"/>
        <v>41912</v>
      </c>
      <c r="D1733" s="914" t="s">
        <v>1383</v>
      </c>
      <c r="E1733" s="914">
        <v>41912</v>
      </c>
      <c r="F1733" s="915" t="s">
        <v>713</v>
      </c>
      <c r="G1733" s="936" t="s">
        <v>714</v>
      </c>
      <c r="H1733" s="919" t="s">
        <v>1376</v>
      </c>
      <c r="I1733" s="254">
        <v>169</v>
      </c>
      <c r="J1733" s="254">
        <v>9877.1864415494947</v>
      </c>
      <c r="K1733" s="916">
        <f t="shared" si="238"/>
        <v>1669245</v>
      </c>
      <c r="L1733" s="896" t="s">
        <v>169</v>
      </c>
      <c r="M1733" s="935" t="s">
        <v>167</v>
      </c>
      <c r="N1733" s="52" t="str">
        <f>IF(AND('331-CT'!$E$7=TH!H1733,OR(L1733="331",M1733="331")),"331",IF(AND(OR(L1733="131",M1733="131"),H1733='131-CT'!$E$7),"131",""))</f>
        <v/>
      </c>
      <c r="O1733" s="89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54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236"/>
        <v>9</v>
      </c>
      <c r="C1734" s="48">
        <f t="shared" si="237"/>
        <v>41912</v>
      </c>
      <c r="D1734" s="914" t="s">
        <v>1383</v>
      </c>
      <c r="E1734" s="914">
        <v>41912</v>
      </c>
      <c r="F1734" s="915" t="s">
        <v>671</v>
      </c>
      <c r="G1734" s="936" t="s">
        <v>716</v>
      </c>
      <c r="H1734" s="919" t="s">
        <v>1376</v>
      </c>
      <c r="I1734" s="254">
        <v>993</v>
      </c>
      <c r="J1734" s="254">
        <v>7346.6676011525178</v>
      </c>
      <c r="K1734" s="916">
        <f t="shared" si="238"/>
        <v>7295241</v>
      </c>
      <c r="L1734" s="896" t="s">
        <v>169</v>
      </c>
      <c r="M1734" s="935" t="s">
        <v>167</v>
      </c>
      <c r="N1734" s="52" t="str">
        <f>IF(AND('331-CT'!$E$7=TH!H1734,OR(L1734="331",M1734="331")),"331",IF(AND(OR(L1734="131",M1734="131"),H1734='131-CT'!$E$7),"131",""))</f>
        <v/>
      </c>
      <c r="O1734" s="89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54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236"/>
        <v>9</v>
      </c>
      <c r="C1735" s="48">
        <f t="shared" si="237"/>
        <v>41912</v>
      </c>
      <c r="D1735" s="914" t="s">
        <v>1383</v>
      </c>
      <c r="E1735" s="914">
        <v>41912</v>
      </c>
      <c r="F1735" s="915" t="s">
        <v>717</v>
      </c>
      <c r="G1735" s="936" t="s">
        <v>718</v>
      </c>
      <c r="H1735" s="919" t="s">
        <v>1376</v>
      </c>
      <c r="I1735" s="254">
        <v>247</v>
      </c>
      <c r="J1735" s="254">
        <v>21305.3360433423</v>
      </c>
      <c r="K1735" s="916">
        <f t="shared" si="238"/>
        <v>5262418</v>
      </c>
      <c r="L1735" s="896" t="s">
        <v>169</v>
      </c>
      <c r="M1735" s="935" t="s">
        <v>167</v>
      </c>
      <c r="N1735" s="52" t="str">
        <f>IF(AND('331-CT'!$E$7=TH!H1735,OR(L1735="331",M1735="331")),"331",IF(AND(OR(L1735="131",M1735="131"),H1735='131-CT'!$E$7),"131",""))</f>
        <v/>
      </c>
      <c r="O1735" s="89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54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236"/>
        <v>9</v>
      </c>
      <c r="C1736" s="48">
        <f t="shared" si="237"/>
        <v>41912</v>
      </c>
      <c r="D1736" s="914" t="s">
        <v>1383</v>
      </c>
      <c r="E1736" s="914">
        <v>41912</v>
      </c>
      <c r="F1736" s="915" t="s">
        <v>693</v>
      </c>
      <c r="G1736" s="936" t="s">
        <v>719</v>
      </c>
      <c r="H1736" s="919" t="s">
        <v>1376</v>
      </c>
      <c r="I1736" s="254">
        <v>498</v>
      </c>
      <c r="J1736" s="254">
        <v>5305.9266008323739</v>
      </c>
      <c r="K1736" s="916">
        <f t="shared" si="238"/>
        <v>2642351</v>
      </c>
      <c r="L1736" s="896" t="s">
        <v>169</v>
      </c>
      <c r="M1736" s="935" t="s">
        <v>167</v>
      </c>
      <c r="N1736" s="52" t="str">
        <f>IF(AND('331-CT'!$E$7=TH!H1736,OR(L1736="331",M1736="331")),"331",IF(AND(OR(L1736="131",M1736="131"),H1736='131-CT'!$E$7),"131",""))</f>
        <v/>
      </c>
      <c r="O1736" s="89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54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236"/>
        <v>9</v>
      </c>
      <c r="C1737" s="48">
        <f t="shared" si="237"/>
        <v>41912</v>
      </c>
      <c r="D1737" s="914" t="s">
        <v>1383</v>
      </c>
      <c r="E1737" s="914">
        <v>41912</v>
      </c>
      <c r="F1737" s="915" t="s">
        <v>694</v>
      </c>
      <c r="G1737" s="936" t="s">
        <v>719</v>
      </c>
      <c r="H1737" s="919" t="s">
        <v>1376</v>
      </c>
      <c r="I1737" s="254">
        <v>500</v>
      </c>
      <c r="J1737" s="254">
        <v>4408.0005606915111</v>
      </c>
      <c r="K1737" s="916">
        <f t="shared" si="238"/>
        <v>2204000</v>
      </c>
      <c r="L1737" s="896" t="s">
        <v>169</v>
      </c>
      <c r="M1737" s="935" t="s">
        <v>167</v>
      </c>
      <c r="N1737" s="52" t="str">
        <f>IF(AND('331-CT'!$E$7=TH!H1737,OR(L1737="331",M1737="331")),"331",IF(AND(OR(L1737="131",M1737="131"),H1737='131-CT'!$E$7),"131",""))</f>
        <v/>
      </c>
      <c r="O1737" s="89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54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236"/>
        <v>9</v>
      </c>
      <c r="C1738" s="48">
        <f t="shared" ref="C1738:C1801" si="239">E1738</f>
        <v>41912</v>
      </c>
      <c r="D1738" s="914" t="s">
        <v>1383</v>
      </c>
      <c r="E1738" s="914">
        <v>41912</v>
      </c>
      <c r="F1738" s="915" t="s">
        <v>720</v>
      </c>
      <c r="G1738" s="936" t="s">
        <v>721</v>
      </c>
      <c r="H1738" s="919" t="s">
        <v>1376</v>
      </c>
      <c r="I1738" s="254">
        <v>1000</v>
      </c>
      <c r="J1738" s="254">
        <v>12734.223841997697</v>
      </c>
      <c r="K1738" s="916">
        <f t="shared" ref="K1738:K1801" si="240">ROUND(I1738*J1738,0)</f>
        <v>12734224</v>
      </c>
      <c r="L1738" s="896" t="s">
        <v>169</v>
      </c>
      <c r="M1738" s="935" t="s">
        <v>167</v>
      </c>
      <c r="N1738" s="52" t="str">
        <f>IF(AND('331-CT'!$E$7=TH!H1738,OR(L1738="331",M1738="331")),"331",IF(AND(OR(L1738="131",M1738="131"),H1738='131-CT'!$E$7),"131",""))</f>
        <v/>
      </c>
      <c r="O1738" s="89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54"/>
    </row>
    <row r="1739" spans="1:28" s="856" customFormat="1" ht="15.75" customHeight="1">
      <c r="A1739" s="844" t="str">
        <f>IF(B1739&lt;&gt;"",IF(AND(B1739&gt;=_TM1,B1739&lt;=_TM2,OR(TH!L1739="1111",TH!M1739="1111")),TH!D1739,""),"")</f>
        <v/>
      </c>
      <c r="B1739" s="845">
        <f t="shared" si="236"/>
        <v>10</v>
      </c>
      <c r="C1739" s="933">
        <f t="shared" si="239"/>
        <v>41918</v>
      </c>
      <c r="D1739" s="914" t="s">
        <v>1383</v>
      </c>
      <c r="E1739" s="847">
        <v>41918</v>
      </c>
      <c r="F1739" s="857" t="s">
        <v>723</v>
      </c>
      <c r="G1739" s="858" t="s">
        <v>724</v>
      </c>
      <c r="H1739" s="850" t="s">
        <v>1376</v>
      </c>
      <c r="I1739" s="851">
        <v>218</v>
      </c>
      <c r="J1739" s="851">
        <v>19576.720447858519</v>
      </c>
      <c r="K1739" s="852">
        <f t="shared" si="240"/>
        <v>4267725</v>
      </c>
      <c r="L1739" s="934" t="s">
        <v>169</v>
      </c>
      <c r="M1739" s="853" t="s">
        <v>167</v>
      </c>
      <c r="N1739" s="52" t="str">
        <f>IF(AND('331-CT'!$E$7=TH!H1739,OR(L1739="331",M1739="331")),"331",IF(AND(OR(L1739="131",M1739="131"),H1739='131-CT'!$E$7),"131",""))</f>
        <v/>
      </c>
      <c r="O1739" s="89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54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236"/>
        <v>10</v>
      </c>
      <c r="C1740" s="48">
        <f t="shared" si="239"/>
        <v>41918</v>
      </c>
      <c r="D1740" s="914" t="s">
        <v>1383</v>
      </c>
      <c r="E1740" s="914">
        <v>41918</v>
      </c>
      <c r="F1740" s="915" t="s">
        <v>747</v>
      </c>
      <c r="G1740" s="936" t="s">
        <v>724</v>
      </c>
      <c r="H1740" s="919" t="s">
        <v>1376</v>
      </c>
      <c r="I1740" s="254">
        <v>436</v>
      </c>
      <c r="J1740" s="254">
        <v>1233.8256880733945</v>
      </c>
      <c r="K1740" s="916">
        <f t="shared" si="240"/>
        <v>537948</v>
      </c>
      <c r="L1740" s="896" t="s">
        <v>169</v>
      </c>
      <c r="M1740" s="935" t="s">
        <v>167</v>
      </c>
      <c r="N1740" s="52" t="str">
        <f>IF(AND('331-CT'!$E$7=TH!H1740,OR(L1740="331",M1740="331")),"331",IF(AND(OR(L1740="131",M1740="131"),H1740='131-CT'!$E$7),"131",""))</f>
        <v/>
      </c>
      <c r="O1740" s="89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54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236"/>
        <v>10</v>
      </c>
      <c r="C1741" s="48">
        <f t="shared" si="239"/>
        <v>41918</v>
      </c>
      <c r="D1741" s="914" t="s">
        <v>1383</v>
      </c>
      <c r="E1741" s="914">
        <v>41918</v>
      </c>
      <c r="F1741" s="915" t="s">
        <v>725</v>
      </c>
      <c r="G1741" s="936" t="s">
        <v>726</v>
      </c>
      <c r="H1741" s="919" t="s">
        <v>1376</v>
      </c>
      <c r="I1741" s="254">
        <v>267</v>
      </c>
      <c r="J1741" s="254">
        <v>3948.2434456928841</v>
      </c>
      <c r="K1741" s="916">
        <f t="shared" si="240"/>
        <v>1054181</v>
      </c>
      <c r="L1741" s="896" t="s">
        <v>169</v>
      </c>
      <c r="M1741" s="935" t="s">
        <v>167</v>
      </c>
      <c r="N1741" s="52" t="str">
        <f>IF(AND('331-CT'!$E$7=TH!H1741,OR(L1741="331",M1741="331")),"331",IF(AND(OR(L1741="131",M1741="131"),H1741='131-CT'!$E$7),"131",""))</f>
        <v/>
      </c>
      <c r="O1741" s="89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54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236"/>
        <v>10</v>
      </c>
      <c r="C1742" s="48">
        <f t="shared" si="239"/>
        <v>41918</v>
      </c>
      <c r="D1742" s="914" t="s">
        <v>1383</v>
      </c>
      <c r="E1742" s="914">
        <v>41918</v>
      </c>
      <c r="F1742" s="915" t="s">
        <v>727</v>
      </c>
      <c r="G1742" s="936" t="s">
        <v>726</v>
      </c>
      <c r="H1742" s="919" t="s">
        <v>1376</v>
      </c>
      <c r="I1742" s="254">
        <v>120</v>
      </c>
      <c r="J1742" s="254">
        <v>6251.3833333333332</v>
      </c>
      <c r="K1742" s="916">
        <f t="shared" si="240"/>
        <v>750166</v>
      </c>
      <c r="L1742" s="896" t="s">
        <v>169</v>
      </c>
      <c r="M1742" s="935" t="s">
        <v>167</v>
      </c>
      <c r="N1742" s="52" t="str">
        <f>IF(AND('331-CT'!$E$7=TH!H1742,OR(L1742="331",M1742="331")),"331",IF(AND(OR(L1742="131",M1742="131"),H1742='131-CT'!$E$7),"131",""))</f>
        <v/>
      </c>
      <c r="O1742" s="89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54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236"/>
        <v>10</v>
      </c>
      <c r="C1743" s="48">
        <f t="shared" si="239"/>
        <v>41918</v>
      </c>
      <c r="D1743" s="914" t="s">
        <v>1383</v>
      </c>
      <c r="E1743" s="914">
        <v>41918</v>
      </c>
      <c r="F1743" s="915" t="s">
        <v>728</v>
      </c>
      <c r="G1743" s="936" t="s">
        <v>726</v>
      </c>
      <c r="H1743" s="919" t="s">
        <v>1376</v>
      </c>
      <c r="I1743" s="254">
        <v>230</v>
      </c>
      <c r="J1743" s="254">
        <v>5428.8347826086956</v>
      </c>
      <c r="K1743" s="916">
        <f t="shared" si="240"/>
        <v>1248632</v>
      </c>
      <c r="L1743" s="896" t="s">
        <v>169</v>
      </c>
      <c r="M1743" s="935" t="s">
        <v>167</v>
      </c>
      <c r="N1743" s="52" t="str">
        <f>IF(AND('331-CT'!$E$7=TH!H1743,OR(L1743="331",M1743="331")),"331",IF(AND(OR(L1743="131",M1743="131"),H1743='131-CT'!$E$7),"131",""))</f>
        <v/>
      </c>
      <c r="O1743" s="89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54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236"/>
        <v>10</v>
      </c>
      <c r="C1744" s="48">
        <f t="shared" si="239"/>
        <v>41918</v>
      </c>
      <c r="D1744" s="914" t="s">
        <v>1383</v>
      </c>
      <c r="E1744" s="914">
        <v>41918</v>
      </c>
      <c r="F1744" s="915" t="s">
        <v>729</v>
      </c>
      <c r="G1744" s="936" t="s">
        <v>726</v>
      </c>
      <c r="H1744" s="919" t="s">
        <v>1376</v>
      </c>
      <c r="I1744" s="254">
        <v>230</v>
      </c>
      <c r="J1744" s="254">
        <v>3865.9910128123965</v>
      </c>
      <c r="K1744" s="916">
        <f t="shared" si="240"/>
        <v>889178</v>
      </c>
      <c r="L1744" s="896" t="s">
        <v>169</v>
      </c>
      <c r="M1744" s="935" t="s">
        <v>167</v>
      </c>
      <c r="N1744" s="52" t="str">
        <f>IF(AND('331-CT'!$E$7=TH!H1744,OR(L1744="331",M1744="331")),"331",IF(AND(OR(L1744="131",M1744="131"),H1744='131-CT'!$E$7),"131",""))</f>
        <v/>
      </c>
      <c r="O1744" s="89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54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236"/>
        <v>10</v>
      </c>
      <c r="C1745" s="48">
        <f t="shared" si="239"/>
        <v>41922</v>
      </c>
      <c r="D1745" s="914" t="s">
        <v>1383</v>
      </c>
      <c r="E1745" s="914">
        <v>41922</v>
      </c>
      <c r="F1745" s="915" t="s">
        <v>516</v>
      </c>
      <c r="G1745" s="936" t="s">
        <v>731</v>
      </c>
      <c r="H1745" s="919" t="s">
        <v>1376</v>
      </c>
      <c r="I1745" s="254">
        <v>1996</v>
      </c>
      <c r="J1745" s="254">
        <v>9459.3397122005445</v>
      </c>
      <c r="K1745" s="916">
        <f t="shared" si="240"/>
        <v>18880842</v>
      </c>
      <c r="L1745" s="896" t="s">
        <v>169</v>
      </c>
      <c r="M1745" s="935" t="s">
        <v>167</v>
      </c>
      <c r="N1745" s="52" t="str">
        <f>IF(AND('331-CT'!$E$7=TH!H1745,OR(L1745="331",M1745="331")),"331",IF(AND(OR(L1745="131",M1745="131"),H1745='131-CT'!$E$7),"131",""))</f>
        <v/>
      </c>
      <c r="O1745" s="89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54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236"/>
        <v>10</v>
      </c>
      <c r="C1746" s="48">
        <f t="shared" si="239"/>
        <v>41922</v>
      </c>
      <c r="D1746" s="914" t="s">
        <v>1383</v>
      </c>
      <c r="E1746" s="914">
        <v>41922</v>
      </c>
      <c r="F1746" s="915" t="s">
        <v>732</v>
      </c>
      <c r="G1746" s="936" t="s">
        <v>733</v>
      </c>
      <c r="H1746" s="919" t="s">
        <v>1376</v>
      </c>
      <c r="I1746" s="254">
        <v>600</v>
      </c>
      <c r="J1746" s="254">
        <v>8225.5127932178657</v>
      </c>
      <c r="K1746" s="916">
        <f t="shared" si="240"/>
        <v>4935308</v>
      </c>
      <c r="L1746" s="896" t="s">
        <v>169</v>
      </c>
      <c r="M1746" s="935" t="s">
        <v>167</v>
      </c>
      <c r="N1746" s="52" t="str">
        <f>IF(AND('331-CT'!$E$7=TH!H1746,OR(L1746="331",M1746="331")),"331",IF(AND(OR(L1746="131",M1746="131"),H1746='131-CT'!$E$7),"131",""))</f>
        <v/>
      </c>
      <c r="O1746" s="89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54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236"/>
        <v>10</v>
      </c>
      <c r="C1747" s="48">
        <f t="shared" si="239"/>
        <v>41922</v>
      </c>
      <c r="D1747" s="914" t="s">
        <v>1383</v>
      </c>
      <c r="E1747" s="914">
        <v>41922</v>
      </c>
      <c r="F1747" s="915" t="s">
        <v>663</v>
      </c>
      <c r="G1747" s="936" t="s">
        <v>735</v>
      </c>
      <c r="H1747" s="919" t="s">
        <v>1376</v>
      </c>
      <c r="I1747" s="254">
        <v>1932</v>
      </c>
      <c r="J1747" s="254">
        <v>7896.4922814891506</v>
      </c>
      <c r="K1747" s="916">
        <f t="shared" si="240"/>
        <v>15256023</v>
      </c>
      <c r="L1747" s="896" t="s">
        <v>169</v>
      </c>
      <c r="M1747" s="935" t="s">
        <v>167</v>
      </c>
      <c r="N1747" s="52" t="str">
        <f>IF(AND('331-CT'!$E$7=TH!H1747,OR(L1747="331",M1747="331")),"331",IF(AND(OR(L1747="131",M1747="131"),H1747='131-CT'!$E$7),"131",""))</f>
        <v/>
      </c>
      <c r="O1747" s="89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54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236"/>
        <v>10</v>
      </c>
      <c r="C1748" s="48">
        <f t="shared" si="239"/>
        <v>41922</v>
      </c>
      <c r="D1748" s="914" t="s">
        <v>1383</v>
      </c>
      <c r="E1748" s="914">
        <v>41922</v>
      </c>
      <c r="F1748" s="915" t="s">
        <v>663</v>
      </c>
      <c r="G1748" s="936" t="s">
        <v>735</v>
      </c>
      <c r="H1748" s="919" t="s">
        <v>1376</v>
      </c>
      <c r="I1748" s="254">
        <v>593</v>
      </c>
      <c r="J1748" s="254">
        <v>7896.4922814891506</v>
      </c>
      <c r="K1748" s="916">
        <f t="shared" si="240"/>
        <v>4682620</v>
      </c>
      <c r="L1748" s="896" t="s">
        <v>169</v>
      </c>
      <c r="M1748" s="935" t="s">
        <v>167</v>
      </c>
      <c r="N1748" s="52" t="str">
        <f>IF(AND('331-CT'!$E$7=TH!H1748,OR(L1748="331",M1748="331")),"331",IF(AND(OR(L1748="131",M1748="131"),H1748='131-CT'!$E$7),"131",""))</f>
        <v/>
      </c>
      <c r="O1748" s="89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54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236"/>
        <v>10</v>
      </c>
      <c r="C1749" s="48">
        <f t="shared" si="239"/>
        <v>41922</v>
      </c>
      <c r="D1749" s="914" t="s">
        <v>1383</v>
      </c>
      <c r="E1749" s="914">
        <v>41922</v>
      </c>
      <c r="F1749" s="915" t="s">
        <v>736</v>
      </c>
      <c r="G1749" s="936" t="s">
        <v>735</v>
      </c>
      <c r="H1749" s="919" t="s">
        <v>1376</v>
      </c>
      <c r="I1749" s="254">
        <v>314</v>
      </c>
      <c r="J1749" s="254">
        <v>6662.6653625064719</v>
      </c>
      <c r="K1749" s="916">
        <f t="shared" si="240"/>
        <v>2092077</v>
      </c>
      <c r="L1749" s="896" t="s">
        <v>169</v>
      </c>
      <c r="M1749" s="935" t="s">
        <v>167</v>
      </c>
      <c r="N1749" s="52" t="str">
        <f>IF(AND('331-CT'!$E$7=TH!H1749,OR(L1749="331",M1749="331")),"331",IF(AND(OR(L1749="131",M1749="131"),H1749='131-CT'!$E$7),"131",""))</f>
        <v/>
      </c>
      <c r="O1749" s="89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54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236"/>
        <v>10</v>
      </c>
      <c r="C1750" s="48">
        <f t="shared" si="239"/>
        <v>41922</v>
      </c>
      <c r="D1750" s="914" t="s">
        <v>1383</v>
      </c>
      <c r="E1750" s="914">
        <v>41922</v>
      </c>
      <c r="F1750" s="915" t="s">
        <v>663</v>
      </c>
      <c r="G1750" s="936" t="s">
        <v>735</v>
      </c>
      <c r="H1750" s="919" t="s">
        <v>1376</v>
      </c>
      <c r="I1750" s="254">
        <v>173</v>
      </c>
      <c r="J1750" s="254">
        <v>7896.4922814891506</v>
      </c>
      <c r="K1750" s="916">
        <f t="shared" si="240"/>
        <v>1366093</v>
      </c>
      <c r="L1750" s="896" t="s">
        <v>169</v>
      </c>
      <c r="M1750" s="935" t="s">
        <v>167</v>
      </c>
      <c r="N1750" s="52" t="str">
        <f>IF(AND('331-CT'!$E$7=TH!H1750,OR(L1750="331",M1750="331")),"331",IF(AND(OR(L1750="131",M1750="131"),H1750='131-CT'!$E$7),"131",""))</f>
        <v/>
      </c>
      <c r="O1750" s="89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54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236"/>
        <v>10</v>
      </c>
      <c r="C1751" s="48">
        <f t="shared" si="239"/>
        <v>41922</v>
      </c>
      <c r="D1751" s="914" t="s">
        <v>1383</v>
      </c>
      <c r="E1751" s="914">
        <v>41922</v>
      </c>
      <c r="F1751" s="915" t="s">
        <v>663</v>
      </c>
      <c r="G1751" s="936" t="s">
        <v>735</v>
      </c>
      <c r="H1751" s="919" t="s">
        <v>1376</v>
      </c>
      <c r="I1751" s="254">
        <v>287</v>
      </c>
      <c r="J1751" s="254">
        <v>7896.4922814891506</v>
      </c>
      <c r="K1751" s="916">
        <f t="shared" si="240"/>
        <v>2266293</v>
      </c>
      <c r="L1751" s="896" t="s">
        <v>169</v>
      </c>
      <c r="M1751" s="935" t="s">
        <v>167</v>
      </c>
      <c r="N1751" s="52" t="str">
        <f>IF(AND('331-CT'!$E$7=TH!H1751,OR(L1751="331",M1751="331")),"331",IF(AND(OR(L1751="131",M1751="131"),H1751='131-CT'!$E$7),"131",""))</f>
        <v/>
      </c>
      <c r="O1751" s="89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54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236"/>
        <v>10</v>
      </c>
      <c r="C1752" s="48">
        <f t="shared" si="239"/>
        <v>41922</v>
      </c>
      <c r="D1752" s="914" t="s">
        <v>1383</v>
      </c>
      <c r="E1752" s="914">
        <v>41922</v>
      </c>
      <c r="F1752" s="915" t="s">
        <v>736</v>
      </c>
      <c r="G1752" s="936" t="s">
        <v>735</v>
      </c>
      <c r="H1752" s="919" t="s">
        <v>1376</v>
      </c>
      <c r="I1752" s="254">
        <v>454</v>
      </c>
      <c r="J1752" s="254">
        <v>6662.6653625064719</v>
      </c>
      <c r="K1752" s="916">
        <f t="shared" si="240"/>
        <v>3024850</v>
      </c>
      <c r="L1752" s="896" t="s">
        <v>169</v>
      </c>
      <c r="M1752" s="935" t="s">
        <v>167</v>
      </c>
      <c r="N1752" s="52" t="str">
        <f>IF(AND('331-CT'!$E$7=TH!H1752,OR(L1752="331",M1752="331")),"331",IF(AND(OR(L1752="131",M1752="131"),H1752='131-CT'!$E$7),"131",""))</f>
        <v/>
      </c>
      <c r="O1752" s="89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54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236"/>
        <v>10</v>
      </c>
      <c r="C1753" s="48">
        <f t="shared" si="239"/>
        <v>41922</v>
      </c>
      <c r="D1753" s="914" t="s">
        <v>1383</v>
      </c>
      <c r="E1753" s="914">
        <v>41922</v>
      </c>
      <c r="F1753" s="915" t="s">
        <v>736</v>
      </c>
      <c r="G1753" s="936" t="s">
        <v>735</v>
      </c>
      <c r="H1753" s="919" t="s">
        <v>1376</v>
      </c>
      <c r="I1753" s="254">
        <v>160</v>
      </c>
      <c r="J1753" s="254">
        <v>6662.6653625064719</v>
      </c>
      <c r="K1753" s="916">
        <f t="shared" si="240"/>
        <v>1066026</v>
      </c>
      <c r="L1753" s="896" t="s">
        <v>169</v>
      </c>
      <c r="M1753" s="935" t="s">
        <v>167</v>
      </c>
      <c r="N1753" s="52" t="str">
        <f>IF(AND('331-CT'!$E$7=TH!H1753,OR(L1753="331",M1753="331")),"331",IF(AND(OR(L1753="131",M1753="131"),H1753='131-CT'!$E$7),"131",""))</f>
        <v/>
      </c>
      <c r="O1753" s="89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54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236"/>
        <v>10</v>
      </c>
      <c r="C1754" s="48">
        <f t="shared" si="239"/>
        <v>41922</v>
      </c>
      <c r="D1754" s="914" t="s">
        <v>1383</v>
      </c>
      <c r="E1754" s="914">
        <v>41922</v>
      </c>
      <c r="F1754" s="915" t="s">
        <v>624</v>
      </c>
      <c r="G1754" s="936" t="s">
        <v>735</v>
      </c>
      <c r="H1754" s="919" t="s">
        <v>1376</v>
      </c>
      <c r="I1754" s="254">
        <v>4800</v>
      </c>
      <c r="J1754" s="254">
        <v>493.53076759307191</v>
      </c>
      <c r="K1754" s="916">
        <f t="shared" si="240"/>
        <v>2368948</v>
      </c>
      <c r="L1754" s="896" t="s">
        <v>169</v>
      </c>
      <c r="M1754" s="935" t="s">
        <v>167</v>
      </c>
      <c r="N1754" s="52" t="str">
        <f>IF(AND('331-CT'!$E$7=TH!H1754,OR(L1754="331",M1754="331")),"331",IF(AND(OR(L1754="131",M1754="131"),H1754='131-CT'!$E$7),"131",""))</f>
        <v/>
      </c>
      <c r="O1754" s="89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54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236"/>
        <v>10</v>
      </c>
      <c r="C1755" s="48">
        <f t="shared" si="239"/>
        <v>41926</v>
      </c>
      <c r="D1755" s="914" t="s">
        <v>1383</v>
      </c>
      <c r="E1755" s="914">
        <v>41926</v>
      </c>
      <c r="F1755" s="915" t="s">
        <v>707</v>
      </c>
      <c r="G1755" s="936" t="s">
        <v>737</v>
      </c>
      <c r="H1755" s="919" t="s">
        <v>1376</v>
      </c>
      <c r="I1755" s="254">
        <v>1635</v>
      </c>
      <c r="J1755" s="254">
        <v>7978.7474094213294</v>
      </c>
      <c r="K1755" s="916">
        <f t="shared" si="240"/>
        <v>13045252</v>
      </c>
      <c r="L1755" s="896" t="s">
        <v>169</v>
      </c>
      <c r="M1755" s="935" t="s">
        <v>167</v>
      </c>
      <c r="N1755" s="52" t="str">
        <f>IF(AND('331-CT'!$E$7=TH!H1755,OR(L1755="331",M1755="331")),"331",IF(AND(OR(L1755="131",M1755="131"),H1755='131-CT'!$E$7),"131",""))</f>
        <v/>
      </c>
      <c r="O1755" s="89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54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236"/>
        <v>10</v>
      </c>
      <c r="C1756" s="48">
        <f t="shared" si="239"/>
        <v>41926</v>
      </c>
      <c r="D1756" s="914" t="s">
        <v>1383</v>
      </c>
      <c r="E1756" s="914">
        <v>41926</v>
      </c>
      <c r="F1756" s="915" t="s">
        <v>495</v>
      </c>
      <c r="G1756" s="936" t="s">
        <v>738</v>
      </c>
      <c r="H1756" s="919" t="s">
        <v>1376</v>
      </c>
      <c r="I1756" s="254">
        <v>197</v>
      </c>
      <c r="J1756" s="254">
        <v>6744.9204904386497</v>
      </c>
      <c r="K1756" s="916">
        <f t="shared" si="240"/>
        <v>1328749</v>
      </c>
      <c r="L1756" s="896" t="s">
        <v>169</v>
      </c>
      <c r="M1756" s="935" t="s">
        <v>167</v>
      </c>
      <c r="N1756" s="52" t="str">
        <f>IF(AND('331-CT'!$E$7=TH!H1756,OR(L1756="331",M1756="331")),"331",IF(AND(OR(L1756="131",M1756="131"),H1756='131-CT'!$E$7),"131",""))</f>
        <v/>
      </c>
      <c r="O1756" s="89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54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236"/>
        <v>10</v>
      </c>
      <c r="C1757" s="48">
        <f t="shared" si="239"/>
        <v>41926</v>
      </c>
      <c r="D1757" s="914" t="s">
        <v>1383</v>
      </c>
      <c r="E1757" s="914">
        <v>41926</v>
      </c>
      <c r="F1757" s="915" t="s">
        <v>513</v>
      </c>
      <c r="G1757" s="936" t="s">
        <v>738</v>
      </c>
      <c r="H1757" s="919" t="s">
        <v>1376</v>
      </c>
      <c r="I1757" s="254">
        <v>300</v>
      </c>
      <c r="J1757" s="254">
        <v>5757.8589552525054</v>
      </c>
      <c r="K1757" s="916">
        <f t="shared" si="240"/>
        <v>1727358</v>
      </c>
      <c r="L1757" s="896" t="s">
        <v>169</v>
      </c>
      <c r="M1757" s="935" t="s">
        <v>167</v>
      </c>
      <c r="N1757" s="52" t="str">
        <f>IF(AND('331-CT'!$E$7=TH!H1757,OR(L1757="331",M1757="331")),"331",IF(AND(OR(L1757="131",M1757="131"),H1757='131-CT'!$E$7),"131",""))</f>
        <v/>
      </c>
      <c r="O1757" s="89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54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236"/>
        <v>10</v>
      </c>
      <c r="C1758" s="48">
        <f t="shared" si="239"/>
        <v>41926</v>
      </c>
      <c r="D1758" s="914" t="s">
        <v>1383</v>
      </c>
      <c r="E1758" s="914">
        <v>41926</v>
      </c>
      <c r="F1758" s="915" t="s">
        <v>739</v>
      </c>
      <c r="G1758" s="936" t="s">
        <v>738</v>
      </c>
      <c r="H1758" s="919" t="s">
        <v>1376</v>
      </c>
      <c r="I1758" s="254">
        <v>42</v>
      </c>
      <c r="J1758" s="254">
        <v>1151.5717910505014</v>
      </c>
      <c r="K1758" s="916">
        <f t="shared" si="240"/>
        <v>48366</v>
      </c>
      <c r="L1758" s="896" t="s">
        <v>169</v>
      </c>
      <c r="M1758" s="935" t="s">
        <v>167</v>
      </c>
      <c r="N1758" s="52" t="str">
        <f>IF(AND('331-CT'!$E$7=TH!H1758,OR(L1758="331",M1758="331")),"331",IF(AND(OR(L1758="131",M1758="131"),H1758='131-CT'!$E$7),"131",""))</f>
        <v/>
      </c>
      <c r="O1758" s="89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54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236"/>
        <v>10</v>
      </c>
      <c r="C1759" s="48">
        <f t="shared" si="239"/>
        <v>41926</v>
      </c>
      <c r="D1759" s="914" t="s">
        <v>1383</v>
      </c>
      <c r="E1759" s="914">
        <v>41926</v>
      </c>
      <c r="F1759" s="915" t="s">
        <v>487</v>
      </c>
      <c r="G1759" s="936" t="s">
        <v>738</v>
      </c>
      <c r="H1759" s="919" t="s">
        <v>1376</v>
      </c>
      <c r="I1759" s="254">
        <v>297</v>
      </c>
      <c r="J1759" s="254">
        <v>7320.7063859639002</v>
      </c>
      <c r="K1759" s="916">
        <f t="shared" si="240"/>
        <v>2174250</v>
      </c>
      <c r="L1759" s="896" t="s">
        <v>169</v>
      </c>
      <c r="M1759" s="935" t="s">
        <v>167</v>
      </c>
      <c r="N1759" s="52" t="str">
        <f>IF(AND('331-CT'!$E$7=TH!H1759,OR(L1759="331",M1759="331")),"331",IF(AND(OR(L1759="131",M1759="131"),H1759='131-CT'!$E$7),"131",""))</f>
        <v/>
      </c>
      <c r="O1759" s="89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54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236"/>
        <v>10</v>
      </c>
      <c r="C1760" s="48">
        <f t="shared" si="239"/>
        <v>41926</v>
      </c>
      <c r="D1760" s="914" t="s">
        <v>1383</v>
      </c>
      <c r="E1760" s="914">
        <v>41926</v>
      </c>
      <c r="F1760" s="915" t="s">
        <v>740</v>
      </c>
      <c r="G1760" s="936" t="s">
        <v>741</v>
      </c>
      <c r="H1760" s="919" t="s">
        <v>1376</v>
      </c>
      <c r="I1760" s="254">
        <v>135</v>
      </c>
      <c r="J1760" s="254">
        <v>8472.2781770144011</v>
      </c>
      <c r="K1760" s="916">
        <f t="shared" si="240"/>
        <v>1143758</v>
      </c>
      <c r="L1760" s="896" t="s">
        <v>169</v>
      </c>
      <c r="M1760" s="935" t="s">
        <v>167</v>
      </c>
      <c r="N1760" s="52" t="str">
        <f>IF(AND('331-CT'!$E$7=TH!H1760,OR(L1760="331",M1760="331")),"331",IF(AND(OR(L1760="131",M1760="131"),H1760='131-CT'!$E$7),"131",""))</f>
        <v/>
      </c>
      <c r="O1760" s="89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54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236"/>
        <v>10</v>
      </c>
      <c r="C1761" s="48">
        <f t="shared" si="239"/>
        <v>41926</v>
      </c>
      <c r="D1761" s="914" t="s">
        <v>1383</v>
      </c>
      <c r="E1761" s="914">
        <v>41926</v>
      </c>
      <c r="F1761" s="915" t="s">
        <v>740</v>
      </c>
      <c r="G1761" s="936" t="s">
        <v>741</v>
      </c>
      <c r="H1761" s="919" t="s">
        <v>1376</v>
      </c>
      <c r="I1761" s="254">
        <v>280</v>
      </c>
      <c r="J1761" s="254">
        <v>8472.2781770144011</v>
      </c>
      <c r="K1761" s="916">
        <f t="shared" si="240"/>
        <v>2372238</v>
      </c>
      <c r="L1761" s="896" t="s">
        <v>169</v>
      </c>
      <c r="M1761" s="935" t="s">
        <v>167</v>
      </c>
      <c r="N1761" s="52" t="str">
        <f>IF(AND('331-CT'!$E$7=TH!H1761,OR(L1761="331",M1761="331")),"331",IF(AND(OR(L1761="131",M1761="131"),H1761='131-CT'!$E$7),"131",""))</f>
        <v/>
      </c>
      <c r="O1761" s="89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54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236"/>
        <v>10</v>
      </c>
      <c r="C1762" s="48">
        <f t="shared" si="239"/>
        <v>41928</v>
      </c>
      <c r="D1762" s="914" t="s">
        <v>1383</v>
      </c>
      <c r="E1762" s="914">
        <v>41928</v>
      </c>
      <c r="F1762" s="915" t="s">
        <v>742</v>
      </c>
      <c r="G1762" s="936" t="s">
        <v>743</v>
      </c>
      <c r="H1762" s="919" t="s">
        <v>1376</v>
      </c>
      <c r="I1762" s="254">
        <v>2960</v>
      </c>
      <c r="J1762" s="254">
        <v>5593.3486993881488</v>
      </c>
      <c r="K1762" s="916">
        <f t="shared" si="240"/>
        <v>16556312</v>
      </c>
      <c r="L1762" s="896" t="s">
        <v>169</v>
      </c>
      <c r="M1762" s="935" t="s">
        <v>167</v>
      </c>
      <c r="N1762" s="52" t="str">
        <f>IF(AND('331-CT'!$E$7=TH!H1762,OR(L1762="331",M1762="331")),"331",IF(AND(OR(L1762="131",M1762="131"),H1762='131-CT'!$E$7),"131",""))</f>
        <v/>
      </c>
      <c r="O1762" s="896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54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236"/>
        <v>10</v>
      </c>
      <c r="C1763" s="48">
        <f t="shared" si="239"/>
        <v>41929</v>
      </c>
      <c r="D1763" s="914" t="s">
        <v>1383</v>
      </c>
      <c r="E1763" s="914">
        <v>41929</v>
      </c>
      <c r="F1763" s="915" t="s">
        <v>613</v>
      </c>
      <c r="G1763" s="936" t="s">
        <v>744</v>
      </c>
      <c r="H1763" s="919" t="s">
        <v>1376</v>
      </c>
      <c r="I1763" s="254">
        <v>500</v>
      </c>
      <c r="J1763" s="254">
        <v>4359.5217804054691</v>
      </c>
      <c r="K1763" s="916">
        <f t="shared" si="240"/>
        <v>2179761</v>
      </c>
      <c r="L1763" s="896" t="s">
        <v>169</v>
      </c>
      <c r="M1763" s="935" t="s">
        <v>167</v>
      </c>
      <c r="N1763" s="52" t="str">
        <f>IF(AND('331-CT'!$E$7=TH!H1763,OR(L1763="331",M1763="331")),"331",IF(AND(OR(L1763="131",M1763="131"),H1763='131-CT'!$E$7),"131",""))</f>
        <v/>
      </c>
      <c r="O1763" s="89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54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236"/>
        <v>10</v>
      </c>
      <c r="C1764" s="48">
        <f t="shared" si="239"/>
        <v>41934</v>
      </c>
      <c r="D1764" s="914" t="s">
        <v>1383</v>
      </c>
      <c r="E1764" s="914">
        <v>41934</v>
      </c>
      <c r="F1764" s="915" t="s">
        <v>745</v>
      </c>
      <c r="G1764" s="936" t="s">
        <v>746</v>
      </c>
      <c r="H1764" s="919" t="s">
        <v>1376</v>
      </c>
      <c r="I1764" s="254">
        <v>164</v>
      </c>
      <c r="J1764" s="254">
        <v>20975.057622705557</v>
      </c>
      <c r="K1764" s="916">
        <f t="shared" si="240"/>
        <v>3439909</v>
      </c>
      <c r="L1764" s="896" t="s">
        <v>169</v>
      </c>
      <c r="M1764" s="935" t="s">
        <v>167</v>
      </c>
      <c r="N1764" s="52" t="str">
        <f>IF(AND('331-CT'!$E$7=TH!H1764,OR(L1764="331",M1764="331")),"331",IF(AND(OR(L1764="131",M1764="131"),H1764='131-CT'!$E$7),"131",""))</f>
        <v/>
      </c>
      <c r="O1764" s="89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54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236"/>
        <v>10</v>
      </c>
      <c r="C1765" s="48">
        <f t="shared" si="239"/>
        <v>41934</v>
      </c>
      <c r="D1765" s="914" t="s">
        <v>1383</v>
      </c>
      <c r="E1765" s="914">
        <v>41934</v>
      </c>
      <c r="F1765" s="915" t="s">
        <v>747</v>
      </c>
      <c r="G1765" s="936" t="s">
        <v>746</v>
      </c>
      <c r="H1765" s="919" t="s">
        <v>1376</v>
      </c>
      <c r="I1765" s="254">
        <v>328</v>
      </c>
      <c r="J1765" s="254">
        <v>1233.8269189826799</v>
      </c>
      <c r="K1765" s="916">
        <f t="shared" si="240"/>
        <v>404695</v>
      </c>
      <c r="L1765" s="896" t="s">
        <v>169</v>
      </c>
      <c r="M1765" s="935" t="s">
        <v>167</v>
      </c>
      <c r="N1765" s="52" t="str">
        <f>IF(AND('331-CT'!$E$7=TH!H1765,OR(L1765="331",M1765="331")),"331",IF(AND(OR(L1765="131",M1765="131"),H1765='131-CT'!$E$7),"131",""))</f>
        <v/>
      </c>
      <c r="O1765" s="89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54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236"/>
        <v>10</v>
      </c>
      <c r="C1766" s="48">
        <f t="shared" si="239"/>
        <v>41934</v>
      </c>
      <c r="D1766" s="914" t="s">
        <v>1383</v>
      </c>
      <c r="E1766" s="914">
        <v>41934</v>
      </c>
      <c r="F1766" s="915" t="s">
        <v>748</v>
      </c>
      <c r="G1766" s="936" t="s">
        <v>749</v>
      </c>
      <c r="H1766" s="919" t="s">
        <v>1376</v>
      </c>
      <c r="I1766" s="254">
        <v>738</v>
      </c>
      <c r="J1766" s="254">
        <v>14641.4127719278</v>
      </c>
      <c r="K1766" s="916">
        <f t="shared" si="240"/>
        <v>10805363</v>
      </c>
      <c r="L1766" s="896" t="s">
        <v>169</v>
      </c>
      <c r="M1766" s="935" t="s">
        <v>167</v>
      </c>
      <c r="N1766" s="52" t="str">
        <f>IF(AND('331-CT'!$E$7=TH!H1766,OR(L1766="331",M1766="331")),"331",IF(AND(OR(L1766="131",M1766="131"),H1766='131-CT'!$E$7),"131",""))</f>
        <v/>
      </c>
      <c r="O1766" s="89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54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236"/>
        <v>10</v>
      </c>
      <c r="C1767" s="48">
        <f t="shared" si="239"/>
        <v>41934</v>
      </c>
      <c r="D1767" s="914" t="s">
        <v>1383</v>
      </c>
      <c r="E1767" s="914">
        <v>41934</v>
      </c>
      <c r="F1767" s="915" t="s">
        <v>713</v>
      </c>
      <c r="G1767" s="936" t="s">
        <v>749</v>
      </c>
      <c r="H1767" s="919" t="s">
        <v>1376</v>
      </c>
      <c r="I1767" s="254">
        <v>30</v>
      </c>
      <c r="J1767" s="254">
        <v>9952.8704797936171</v>
      </c>
      <c r="K1767" s="916">
        <f t="shared" si="240"/>
        <v>298586</v>
      </c>
      <c r="L1767" s="896" t="s">
        <v>169</v>
      </c>
      <c r="M1767" s="935" t="s">
        <v>167</v>
      </c>
      <c r="N1767" s="52" t="str">
        <f>IF(AND('331-CT'!$E$7=TH!H1767,OR(L1767="331",M1767="331")),"331",IF(AND(OR(L1767="131",M1767="131"),H1767='131-CT'!$E$7),"131",""))</f>
        <v/>
      </c>
      <c r="O1767" s="89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54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236"/>
        <v>10</v>
      </c>
      <c r="C1768" s="48">
        <f t="shared" si="239"/>
        <v>41935</v>
      </c>
      <c r="D1768" s="914" t="s">
        <v>1383</v>
      </c>
      <c r="E1768" s="914">
        <v>41935</v>
      </c>
      <c r="F1768" s="915" t="s">
        <v>653</v>
      </c>
      <c r="G1768" s="936" t="s">
        <v>750</v>
      </c>
      <c r="H1768" s="919" t="s">
        <v>1376</v>
      </c>
      <c r="I1768" s="254">
        <v>4080</v>
      </c>
      <c r="J1768" s="254">
        <v>6086.8794669812205</v>
      </c>
      <c r="K1768" s="916">
        <f t="shared" si="240"/>
        <v>24834468</v>
      </c>
      <c r="L1768" s="896" t="s">
        <v>169</v>
      </c>
      <c r="M1768" s="935" t="s">
        <v>167</v>
      </c>
      <c r="N1768" s="52" t="str">
        <f>IF(AND('331-CT'!$E$7=TH!H1768,OR(L1768="331",M1768="331")),"331",IF(AND(OR(L1768="131",M1768="131"),H1768='131-CT'!$E$7),"131",""))</f>
        <v/>
      </c>
      <c r="O1768" s="89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54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236"/>
        <v>10</v>
      </c>
      <c r="C1769" s="48">
        <f t="shared" si="239"/>
        <v>41937</v>
      </c>
      <c r="D1769" s="914" t="s">
        <v>1383</v>
      </c>
      <c r="E1769" s="914">
        <v>41937</v>
      </c>
      <c r="F1769" s="915" t="s">
        <v>437</v>
      </c>
      <c r="G1769" s="936" t="s">
        <v>751</v>
      </c>
      <c r="H1769" s="919" t="s">
        <v>1376</v>
      </c>
      <c r="I1769" s="254">
        <v>388</v>
      </c>
      <c r="J1769" s="254">
        <v>7814.2371535569719</v>
      </c>
      <c r="K1769" s="916">
        <f t="shared" si="240"/>
        <v>3031924</v>
      </c>
      <c r="L1769" s="896" t="s">
        <v>169</v>
      </c>
      <c r="M1769" s="935" t="s">
        <v>167</v>
      </c>
      <c r="N1769" s="52" t="str">
        <f>IF(AND('331-CT'!$E$7=TH!H1769,OR(L1769="331",M1769="331")),"331",IF(AND(OR(L1769="131",M1769="131"),H1769='131-CT'!$E$7),"131",""))</f>
        <v/>
      </c>
      <c r="O1769" s="89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54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236"/>
        <v>10</v>
      </c>
      <c r="C1770" s="48">
        <f t="shared" si="239"/>
        <v>41937</v>
      </c>
      <c r="D1770" s="914" t="s">
        <v>1383</v>
      </c>
      <c r="E1770" s="914">
        <v>41937</v>
      </c>
      <c r="F1770" s="915" t="s">
        <v>567</v>
      </c>
      <c r="G1770" s="936" t="s">
        <v>751</v>
      </c>
      <c r="H1770" s="919" t="s">
        <v>1376</v>
      </c>
      <c r="I1770" s="254">
        <v>405</v>
      </c>
      <c r="J1770" s="254">
        <v>7978.7474094213294</v>
      </c>
      <c r="K1770" s="916">
        <f t="shared" si="240"/>
        <v>3231393</v>
      </c>
      <c r="L1770" s="896" t="s">
        <v>169</v>
      </c>
      <c r="M1770" s="935" t="s">
        <v>167</v>
      </c>
      <c r="N1770" s="52" t="str">
        <f>IF(AND('331-CT'!$E$7=TH!H1770,OR(L1770="331",M1770="331")),"331",IF(AND(OR(L1770="131",M1770="131"),H1770='131-CT'!$E$7),"131",""))</f>
        <v/>
      </c>
      <c r="O1770" s="89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54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236"/>
        <v>10</v>
      </c>
      <c r="C1771" s="48">
        <f t="shared" si="239"/>
        <v>41940</v>
      </c>
      <c r="D1771" s="914" t="s">
        <v>1383</v>
      </c>
      <c r="E1771" s="914">
        <v>41940</v>
      </c>
      <c r="F1771" s="915" t="s">
        <v>752</v>
      </c>
      <c r="G1771" s="936" t="s">
        <v>753</v>
      </c>
      <c r="H1771" s="919" t="s">
        <v>1376</v>
      </c>
      <c r="I1771" s="254">
        <v>57</v>
      </c>
      <c r="J1771" s="254">
        <v>20892.802494773379</v>
      </c>
      <c r="K1771" s="916">
        <f t="shared" si="240"/>
        <v>1190890</v>
      </c>
      <c r="L1771" s="896" t="s">
        <v>169</v>
      </c>
      <c r="M1771" s="935" t="s">
        <v>167</v>
      </c>
      <c r="N1771" s="52" t="str">
        <f>IF(AND('331-CT'!$E$7=TH!H1771,OR(L1771="331",M1771="331")),"331",IF(AND(OR(L1771="131",M1771="131"),H1771='131-CT'!$E$7),"131",""))</f>
        <v/>
      </c>
      <c r="O1771" s="89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54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236"/>
        <v>10</v>
      </c>
      <c r="C1772" s="48">
        <f t="shared" si="239"/>
        <v>41940</v>
      </c>
      <c r="D1772" s="914" t="s">
        <v>1383</v>
      </c>
      <c r="E1772" s="914">
        <v>41940</v>
      </c>
      <c r="F1772" s="915" t="s">
        <v>754</v>
      </c>
      <c r="G1772" s="936" t="s">
        <v>753</v>
      </c>
      <c r="H1772" s="919" t="s">
        <v>1376</v>
      </c>
      <c r="I1772" s="254">
        <v>236</v>
      </c>
      <c r="J1772" s="254">
        <v>16862.301226096624</v>
      </c>
      <c r="K1772" s="916">
        <f t="shared" si="240"/>
        <v>3979503</v>
      </c>
      <c r="L1772" s="896" t="s">
        <v>169</v>
      </c>
      <c r="M1772" s="935" t="s">
        <v>167</v>
      </c>
      <c r="N1772" s="52" t="str">
        <f>IF(AND('331-CT'!$E$7=TH!H1772,OR(L1772="331",M1772="331")),"331",IF(AND(OR(L1772="131",M1772="131"),H1772='131-CT'!$E$7),"131",""))</f>
        <v/>
      </c>
      <c r="O1772" s="89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54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236"/>
        <v>10</v>
      </c>
      <c r="C1773" s="48">
        <f t="shared" si="239"/>
        <v>41940</v>
      </c>
      <c r="D1773" s="914" t="s">
        <v>1383</v>
      </c>
      <c r="E1773" s="914">
        <v>41940</v>
      </c>
      <c r="F1773" s="915" t="s">
        <v>747</v>
      </c>
      <c r="G1773" s="936" t="s">
        <v>753</v>
      </c>
      <c r="H1773" s="919" t="s">
        <v>1376</v>
      </c>
      <c r="I1773" s="254">
        <v>586</v>
      </c>
      <c r="J1773" s="254">
        <v>1233.8269189826799</v>
      </c>
      <c r="K1773" s="916">
        <f t="shared" si="240"/>
        <v>723023</v>
      </c>
      <c r="L1773" s="896" t="s">
        <v>169</v>
      </c>
      <c r="M1773" s="935" t="s">
        <v>167</v>
      </c>
      <c r="N1773" s="52" t="str">
        <f>IF(AND('331-CT'!$E$7=TH!H1773,OR(L1773="331",M1773="331")),"331",IF(AND(OR(L1773="131",M1773="131"),H1773='131-CT'!$E$7),"131",""))</f>
        <v/>
      </c>
      <c r="O1773" s="89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54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236"/>
        <v>10</v>
      </c>
      <c r="C1774" s="48">
        <f t="shared" si="239"/>
        <v>41940</v>
      </c>
      <c r="D1774" s="914" t="s">
        <v>1383</v>
      </c>
      <c r="E1774" s="914">
        <v>41940</v>
      </c>
      <c r="F1774" s="915" t="s">
        <v>755</v>
      </c>
      <c r="G1774" s="936" t="s">
        <v>756</v>
      </c>
      <c r="H1774" s="919" t="s">
        <v>1376</v>
      </c>
      <c r="I1774" s="254">
        <v>1028</v>
      </c>
      <c r="J1774" s="254">
        <v>5264.3281876594338</v>
      </c>
      <c r="K1774" s="916">
        <f t="shared" si="240"/>
        <v>5411729</v>
      </c>
      <c r="L1774" s="896" t="s">
        <v>169</v>
      </c>
      <c r="M1774" s="935" t="s">
        <v>167</v>
      </c>
      <c r="N1774" s="52" t="str">
        <f>IF(AND('331-CT'!$E$7=TH!H1774,OR(L1774="331",M1774="331")),"331",IF(AND(OR(L1774="131",M1774="131"),H1774='131-CT'!$E$7),"131",""))</f>
        <v/>
      </c>
      <c r="O1774" s="89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54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236"/>
        <v>10</v>
      </c>
      <c r="C1775" s="48">
        <f t="shared" si="239"/>
        <v>41941</v>
      </c>
      <c r="D1775" s="914" t="s">
        <v>1383</v>
      </c>
      <c r="E1775" s="914">
        <v>41941</v>
      </c>
      <c r="F1775" s="915" t="s">
        <v>1208</v>
      </c>
      <c r="G1775" s="936" t="s">
        <v>757</v>
      </c>
      <c r="H1775" s="919" t="s">
        <v>1376</v>
      </c>
      <c r="I1775" s="254">
        <v>500</v>
      </c>
      <c r="J1775" s="254">
        <v>658.04102345742922</v>
      </c>
      <c r="K1775" s="916">
        <f t="shared" si="240"/>
        <v>329021</v>
      </c>
      <c r="L1775" s="896" t="s">
        <v>169</v>
      </c>
      <c r="M1775" s="935" t="s">
        <v>167</v>
      </c>
      <c r="N1775" s="52" t="str">
        <f>IF(AND('331-CT'!$E$7=TH!H1775,OR(L1775="331",M1775="331")),"331",IF(AND(OR(L1775="131",M1775="131"),H1775='131-CT'!$E$7),"131",""))</f>
        <v/>
      </c>
      <c r="O1775" s="89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54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236"/>
        <v>10</v>
      </c>
      <c r="C1776" s="48">
        <f t="shared" si="239"/>
        <v>41941</v>
      </c>
      <c r="D1776" s="914" t="s">
        <v>1383</v>
      </c>
      <c r="E1776" s="914">
        <v>41941</v>
      </c>
      <c r="F1776" s="915" t="s">
        <v>1209</v>
      </c>
      <c r="G1776" s="936" t="s">
        <v>757</v>
      </c>
      <c r="H1776" s="919" t="s">
        <v>1376</v>
      </c>
      <c r="I1776" s="254">
        <v>500</v>
      </c>
      <c r="J1776" s="254">
        <v>493.53076759307191</v>
      </c>
      <c r="K1776" s="916">
        <f t="shared" si="240"/>
        <v>246765</v>
      </c>
      <c r="L1776" s="896" t="s">
        <v>169</v>
      </c>
      <c r="M1776" s="935" t="s">
        <v>167</v>
      </c>
      <c r="N1776" s="52" t="str">
        <f>IF(AND('331-CT'!$E$7=TH!H1776,OR(L1776="331",M1776="331")),"331",IF(AND(OR(L1776="131",M1776="131"),H1776='131-CT'!$E$7),"131",""))</f>
        <v/>
      </c>
      <c r="O1776" s="89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54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236"/>
        <v>10</v>
      </c>
      <c r="C1777" s="48">
        <f t="shared" si="239"/>
        <v>41941</v>
      </c>
      <c r="D1777" s="914" t="s">
        <v>1383</v>
      </c>
      <c r="E1777" s="914">
        <v>41941</v>
      </c>
      <c r="F1777" s="915" t="s">
        <v>1210</v>
      </c>
      <c r="G1777" s="936" t="s">
        <v>757</v>
      </c>
      <c r="H1777" s="919" t="s">
        <v>1376</v>
      </c>
      <c r="I1777" s="254">
        <v>500</v>
      </c>
      <c r="J1777" s="254">
        <v>1398.3371748470372</v>
      </c>
      <c r="K1777" s="916">
        <f t="shared" si="240"/>
        <v>699169</v>
      </c>
      <c r="L1777" s="896" t="s">
        <v>169</v>
      </c>
      <c r="M1777" s="935" t="s">
        <v>167</v>
      </c>
      <c r="N1777" s="52" t="str">
        <f>IF(AND('331-CT'!$E$7=TH!H1777,OR(L1777="331",M1777="331")),"331",IF(AND(OR(L1777="131",M1777="131"),H1777='131-CT'!$E$7),"131",""))</f>
        <v/>
      </c>
      <c r="O1777" s="89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54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236"/>
        <v>10</v>
      </c>
      <c r="C1778" s="48">
        <f t="shared" si="239"/>
        <v>41942</v>
      </c>
      <c r="D1778" s="914" t="s">
        <v>1383</v>
      </c>
      <c r="E1778" s="914">
        <v>41942</v>
      </c>
      <c r="F1778" s="915" t="s">
        <v>1211</v>
      </c>
      <c r="G1778" s="936" t="s">
        <v>758</v>
      </c>
      <c r="H1778" s="919" t="s">
        <v>1376</v>
      </c>
      <c r="I1778" s="254">
        <v>595</v>
      </c>
      <c r="J1778" s="254">
        <v>9377.0845842683666</v>
      </c>
      <c r="K1778" s="916">
        <f t="shared" si="240"/>
        <v>5579365</v>
      </c>
      <c r="L1778" s="896" t="s">
        <v>169</v>
      </c>
      <c r="M1778" s="935" t="s">
        <v>167</v>
      </c>
      <c r="N1778" s="52" t="str">
        <f>IF(AND('331-CT'!$E$7=TH!H1778,OR(L1778="331",M1778="331")),"331",IF(AND(OR(L1778="131",M1778="131"),H1778='131-CT'!$E$7),"131",""))</f>
        <v/>
      </c>
      <c r="O1778" s="89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54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236"/>
        <v>10</v>
      </c>
      <c r="C1779" s="48">
        <f t="shared" si="239"/>
        <v>41942</v>
      </c>
      <c r="D1779" s="914" t="s">
        <v>1383</v>
      </c>
      <c r="E1779" s="914">
        <v>41942</v>
      </c>
      <c r="F1779" s="915" t="s">
        <v>446</v>
      </c>
      <c r="G1779" s="936" t="s">
        <v>758</v>
      </c>
      <c r="H1779" s="919" t="s">
        <v>1376</v>
      </c>
      <c r="I1779" s="254">
        <v>1190</v>
      </c>
      <c r="J1779" s="254">
        <v>822.55127932178664</v>
      </c>
      <c r="K1779" s="916">
        <f t="shared" si="240"/>
        <v>978836</v>
      </c>
      <c r="L1779" s="896" t="s">
        <v>169</v>
      </c>
      <c r="M1779" s="935" t="s">
        <v>167</v>
      </c>
      <c r="N1779" s="52" t="str">
        <f>IF(AND('331-CT'!$E$7=TH!H1779,OR(L1779="331",M1779="331")),"331",IF(AND(OR(L1779="131",M1779="131"),H1779='131-CT'!$E$7),"131",""))</f>
        <v/>
      </c>
      <c r="O1779" s="89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54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236"/>
        <v>10</v>
      </c>
      <c r="C1780" s="48">
        <f t="shared" si="239"/>
        <v>41942</v>
      </c>
      <c r="D1780" s="914" t="s">
        <v>1383</v>
      </c>
      <c r="E1780" s="914">
        <v>41942</v>
      </c>
      <c r="F1780" s="915" t="s">
        <v>460</v>
      </c>
      <c r="G1780" s="936" t="s">
        <v>759</v>
      </c>
      <c r="H1780" s="919" t="s">
        <v>1376</v>
      </c>
      <c r="I1780" s="254">
        <v>1005</v>
      </c>
      <c r="J1780" s="254">
        <v>7567.4717697604365</v>
      </c>
      <c r="K1780" s="916">
        <f t="shared" si="240"/>
        <v>7605309</v>
      </c>
      <c r="L1780" s="896" t="s">
        <v>169</v>
      </c>
      <c r="M1780" s="935" t="s">
        <v>167</v>
      </c>
      <c r="N1780" s="52" t="str">
        <f>IF(AND('331-CT'!$E$7=TH!H1780,OR(L1780="331",M1780="331")),"331",IF(AND(OR(L1780="131",M1780="131"),H1780='131-CT'!$E$7),"131",""))</f>
        <v/>
      </c>
      <c r="O1780" s="89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54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236"/>
        <v>11</v>
      </c>
      <c r="C1781" s="48">
        <f t="shared" si="239"/>
        <v>41947</v>
      </c>
      <c r="D1781" s="914" t="s">
        <v>1383</v>
      </c>
      <c r="E1781" s="914">
        <v>41947</v>
      </c>
      <c r="F1781" s="915" t="s">
        <v>513</v>
      </c>
      <c r="G1781" s="936" t="s">
        <v>760</v>
      </c>
      <c r="H1781" s="919" t="s">
        <v>1376</v>
      </c>
      <c r="I1781" s="254">
        <v>300</v>
      </c>
      <c r="J1781" s="254">
        <v>5757.8589552525054</v>
      </c>
      <c r="K1781" s="916">
        <f t="shared" si="240"/>
        <v>1727358</v>
      </c>
      <c r="L1781" s="896" t="s">
        <v>169</v>
      </c>
      <c r="M1781" s="935" t="s">
        <v>167</v>
      </c>
      <c r="N1781" s="52" t="str">
        <f>IF(AND('331-CT'!$E$7=TH!H1781,OR(L1781="331",M1781="331")),"331",IF(AND(OR(L1781="131",M1781="131"),H1781='131-CT'!$E$7),"131",""))</f>
        <v/>
      </c>
      <c r="O1781" s="89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54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236"/>
        <v>11</v>
      </c>
      <c r="C1782" s="48">
        <f t="shared" si="239"/>
        <v>41947</v>
      </c>
      <c r="D1782" s="914" t="s">
        <v>1383</v>
      </c>
      <c r="E1782" s="914">
        <v>41947</v>
      </c>
      <c r="F1782" s="915" t="s">
        <v>487</v>
      </c>
      <c r="G1782" s="936" t="s">
        <v>760</v>
      </c>
      <c r="H1782" s="919" t="s">
        <v>1376</v>
      </c>
      <c r="I1782" s="254">
        <v>300</v>
      </c>
      <c r="J1782" s="254">
        <v>7320.7063859639002</v>
      </c>
      <c r="K1782" s="916">
        <f t="shared" si="240"/>
        <v>2196212</v>
      </c>
      <c r="L1782" s="896" t="s">
        <v>169</v>
      </c>
      <c r="M1782" s="935" t="s">
        <v>167</v>
      </c>
      <c r="N1782" s="52" t="str">
        <f>IF(AND('331-CT'!$E$7=TH!H1782,OR(L1782="331",M1782="331")),"331",IF(AND(OR(L1782="131",M1782="131"),H1782='131-CT'!$E$7),"131",""))</f>
        <v/>
      </c>
      <c r="O1782" s="89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54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236"/>
        <v>11</v>
      </c>
      <c r="C1783" s="48">
        <f t="shared" si="239"/>
        <v>41947</v>
      </c>
      <c r="D1783" s="914" t="s">
        <v>1383</v>
      </c>
      <c r="E1783" s="914">
        <v>41947</v>
      </c>
      <c r="F1783" s="915" t="s">
        <v>761</v>
      </c>
      <c r="G1783" s="936" t="s">
        <v>762</v>
      </c>
      <c r="H1783" s="919" t="s">
        <v>1376</v>
      </c>
      <c r="I1783" s="254">
        <v>224</v>
      </c>
      <c r="J1783" s="254">
        <v>19165.444808197626</v>
      </c>
      <c r="K1783" s="916">
        <f t="shared" si="240"/>
        <v>4293060</v>
      </c>
      <c r="L1783" s="896" t="s">
        <v>169</v>
      </c>
      <c r="M1783" s="935" t="s">
        <v>167</v>
      </c>
      <c r="N1783" s="52" t="str">
        <f>IF(AND('331-CT'!$E$7=TH!H1783,OR(L1783="331",M1783="331")),"331",IF(AND(OR(L1783="131",M1783="131"),H1783='131-CT'!$E$7),"131",""))</f>
        <v/>
      </c>
      <c r="O1783" s="89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54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236"/>
        <v>11</v>
      </c>
      <c r="C1784" s="48">
        <f t="shared" si="239"/>
        <v>41947</v>
      </c>
      <c r="D1784" s="914" t="s">
        <v>1383</v>
      </c>
      <c r="E1784" s="914">
        <v>41947</v>
      </c>
      <c r="F1784" s="915" t="s">
        <v>747</v>
      </c>
      <c r="G1784" s="936" t="s">
        <v>762</v>
      </c>
      <c r="H1784" s="919" t="s">
        <v>1376</v>
      </c>
      <c r="I1784" s="254">
        <v>448</v>
      </c>
      <c r="J1784" s="254">
        <v>1233.8269189826799</v>
      </c>
      <c r="K1784" s="916">
        <f t="shared" si="240"/>
        <v>552754</v>
      </c>
      <c r="L1784" s="896" t="s">
        <v>169</v>
      </c>
      <c r="M1784" s="935" t="s">
        <v>167</v>
      </c>
      <c r="N1784" s="52" t="str">
        <f>IF(AND('331-CT'!$E$7=TH!H1784,OR(L1784="331",M1784="331")),"331",IF(AND(OR(L1784="131",M1784="131"),H1784='131-CT'!$E$7),"131",""))</f>
        <v/>
      </c>
      <c r="O1784" s="89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54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236"/>
        <v>11</v>
      </c>
      <c r="C1785" s="48">
        <f t="shared" si="239"/>
        <v>41947</v>
      </c>
      <c r="D1785" s="914" t="s">
        <v>1383</v>
      </c>
      <c r="E1785" s="914">
        <v>41947</v>
      </c>
      <c r="F1785" s="915" t="s">
        <v>467</v>
      </c>
      <c r="G1785" s="936" t="s">
        <v>763</v>
      </c>
      <c r="H1785" s="919" t="s">
        <v>1376</v>
      </c>
      <c r="I1785" s="254">
        <v>1529</v>
      </c>
      <c r="J1785" s="254">
        <v>4277.2666524732904</v>
      </c>
      <c r="K1785" s="916">
        <f t="shared" si="240"/>
        <v>6539941</v>
      </c>
      <c r="L1785" s="896" t="s">
        <v>169</v>
      </c>
      <c r="M1785" s="935" t="s">
        <v>167</v>
      </c>
      <c r="N1785" s="52" t="str">
        <f>IF(AND('331-CT'!$E$7=TH!H1785,OR(L1785="331",M1785="331")),"331",IF(AND(OR(L1785="131",M1785="131"),H1785='131-CT'!$E$7),"131",""))</f>
        <v/>
      </c>
      <c r="O1785" s="89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54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236"/>
        <v>11</v>
      </c>
      <c r="C1786" s="48">
        <f t="shared" si="239"/>
        <v>41948</v>
      </c>
      <c r="D1786" s="914" t="s">
        <v>1383</v>
      </c>
      <c r="E1786" s="914">
        <v>41948</v>
      </c>
      <c r="F1786" s="915" t="s">
        <v>584</v>
      </c>
      <c r="G1786" s="936" t="s">
        <v>764</v>
      </c>
      <c r="H1786" s="919" t="s">
        <v>1376</v>
      </c>
      <c r="I1786" s="254">
        <v>11</v>
      </c>
      <c r="J1786" s="254">
        <v>14230.137132266907</v>
      </c>
      <c r="K1786" s="916">
        <f t="shared" si="240"/>
        <v>156532</v>
      </c>
      <c r="L1786" s="896" t="s">
        <v>169</v>
      </c>
      <c r="M1786" s="935" t="s">
        <v>167</v>
      </c>
      <c r="N1786" s="52" t="str">
        <f>IF(AND('331-CT'!$E$7=TH!H1786,OR(L1786="331",M1786="331")),"331",IF(AND(OR(L1786="131",M1786="131"),H1786='131-CT'!$E$7),"131",""))</f>
        <v/>
      </c>
      <c r="O1786" s="89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54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ref="B1787:B1850" si="241">IF(C1787&lt;&gt;"",MONTH(C1787),"")</f>
        <v>11</v>
      </c>
      <c r="C1787" s="48">
        <f t="shared" si="239"/>
        <v>41948</v>
      </c>
      <c r="D1787" s="914" t="s">
        <v>1383</v>
      </c>
      <c r="E1787" s="914">
        <v>41948</v>
      </c>
      <c r="F1787" s="915" t="s">
        <v>708</v>
      </c>
      <c r="G1787" s="936" t="s">
        <v>764</v>
      </c>
      <c r="H1787" s="919" t="s">
        <v>1376</v>
      </c>
      <c r="I1787" s="254">
        <v>126</v>
      </c>
      <c r="J1787" s="254">
        <v>10610.911503251047</v>
      </c>
      <c r="K1787" s="916">
        <f t="shared" si="240"/>
        <v>1336975</v>
      </c>
      <c r="L1787" s="896" t="s">
        <v>169</v>
      </c>
      <c r="M1787" s="935" t="s">
        <v>167</v>
      </c>
      <c r="N1787" s="52" t="str">
        <f>IF(AND('331-CT'!$E$7=TH!H1787,OR(L1787="331",M1787="331")),"331",IF(AND(OR(L1787="131",M1787="131"),H1787='131-CT'!$E$7),"131",""))</f>
        <v/>
      </c>
      <c r="O1787" s="89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54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241"/>
        <v>11</v>
      </c>
      <c r="C1788" s="48">
        <f t="shared" si="239"/>
        <v>41948</v>
      </c>
      <c r="D1788" s="914" t="s">
        <v>1383</v>
      </c>
      <c r="E1788" s="914">
        <v>41948</v>
      </c>
      <c r="F1788" s="915" t="s">
        <v>607</v>
      </c>
      <c r="G1788" s="936" t="s">
        <v>764</v>
      </c>
      <c r="H1788" s="919" t="s">
        <v>1376</v>
      </c>
      <c r="I1788" s="254">
        <v>150</v>
      </c>
      <c r="J1788" s="254">
        <v>9788.3602239292595</v>
      </c>
      <c r="K1788" s="916">
        <f t="shared" si="240"/>
        <v>1468254</v>
      </c>
      <c r="L1788" s="896" t="s">
        <v>169</v>
      </c>
      <c r="M1788" s="935" t="s">
        <v>167</v>
      </c>
      <c r="N1788" s="52" t="str">
        <f>IF(AND('331-CT'!$E$7=TH!H1788,OR(L1788="331",M1788="331")),"331",IF(AND(OR(L1788="131",M1788="131"),H1788='131-CT'!$E$7),"131",""))</f>
        <v/>
      </c>
      <c r="O1788" s="896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54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241"/>
        <v>11</v>
      </c>
      <c r="C1789" s="48">
        <f t="shared" si="239"/>
        <v>41948</v>
      </c>
      <c r="D1789" s="914" t="s">
        <v>1383</v>
      </c>
      <c r="E1789" s="914">
        <v>41948</v>
      </c>
      <c r="F1789" s="915" t="s">
        <v>708</v>
      </c>
      <c r="G1789" s="936" t="s">
        <v>764</v>
      </c>
      <c r="H1789" s="919" t="s">
        <v>1376</v>
      </c>
      <c r="I1789" s="254">
        <v>221</v>
      </c>
      <c r="J1789" s="254">
        <v>10610.911503251047</v>
      </c>
      <c r="K1789" s="916">
        <f t="shared" si="240"/>
        <v>2345011</v>
      </c>
      <c r="L1789" s="896" t="s">
        <v>169</v>
      </c>
      <c r="M1789" s="935" t="s">
        <v>167</v>
      </c>
      <c r="N1789" s="52" t="str">
        <f>IF(AND('331-CT'!$E$7=TH!H1789,OR(L1789="331",M1789="331")),"331",IF(AND(OR(L1789="131",M1789="131"),H1789='131-CT'!$E$7),"131",""))</f>
        <v/>
      </c>
      <c r="O1789" s="896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54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241"/>
        <v>11</v>
      </c>
      <c r="C1790" s="48">
        <f t="shared" si="239"/>
        <v>41948</v>
      </c>
      <c r="D1790" s="914" t="s">
        <v>1383</v>
      </c>
      <c r="E1790" s="914">
        <v>41948</v>
      </c>
      <c r="F1790" s="915" t="s">
        <v>584</v>
      </c>
      <c r="G1790" s="936" t="s">
        <v>764</v>
      </c>
      <c r="H1790" s="919" t="s">
        <v>1376</v>
      </c>
      <c r="I1790" s="254">
        <v>25</v>
      </c>
      <c r="J1790" s="254">
        <v>14230.137132266907</v>
      </c>
      <c r="K1790" s="916">
        <f t="shared" si="240"/>
        <v>355753</v>
      </c>
      <c r="L1790" s="896" t="s">
        <v>169</v>
      </c>
      <c r="M1790" s="935" t="s">
        <v>167</v>
      </c>
      <c r="N1790" s="52" t="str">
        <f>IF(AND('331-CT'!$E$7=TH!H1790,OR(L1790="331",M1790="331")),"331",IF(AND(OR(L1790="131",M1790="131"),H1790='131-CT'!$E$7),"131",""))</f>
        <v/>
      </c>
      <c r="O1790" s="89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54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241"/>
        <v>11</v>
      </c>
      <c r="C1791" s="48">
        <f t="shared" si="239"/>
        <v>41948</v>
      </c>
      <c r="D1791" s="914" t="s">
        <v>1383</v>
      </c>
      <c r="E1791" s="914">
        <v>41948</v>
      </c>
      <c r="F1791" s="915" t="s">
        <v>609</v>
      </c>
      <c r="G1791" s="936" t="s">
        <v>764</v>
      </c>
      <c r="H1791" s="919" t="s">
        <v>1376</v>
      </c>
      <c r="I1791" s="254">
        <v>55</v>
      </c>
      <c r="J1791" s="254">
        <v>12667.289701555514</v>
      </c>
      <c r="K1791" s="916">
        <f t="shared" si="240"/>
        <v>696701</v>
      </c>
      <c r="L1791" s="896" t="s">
        <v>169</v>
      </c>
      <c r="M1791" s="935" t="s">
        <v>167</v>
      </c>
      <c r="N1791" s="52" t="str">
        <f>IF(AND('331-CT'!$E$7=TH!H1791,OR(L1791="331",M1791="331")),"331",IF(AND(OR(L1791="131",M1791="131"),H1791='131-CT'!$E$7),"131",""))</f>
        <v/>
      </c>
      <c r="O1791" s="89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54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241"/>
        <v>11</v>
      </c>
      <c r="C1792" s="48">
        <f t="shared" si="239"/>
        <v>41948</v>
      </c>
      <c r="D1792" s="914" t="s">
        <v>1383</v>
      </c>
      <c r="E1792" s="914">
        <v>41948</v>
      </c>
      <c r="F1792" s="915" t="s">
        <v>708</v>
      </c>
      <c r="G1792" s="936" t="s">
        <v>764</v>
      </c>
      <c r="H1792" s="919" t="s">
        <v>1376</v>
      </c>
      <c r="I1792" s="254">
        <v>70</v>
      </c>
      <c r="J1792" s="254">
        <v>10610.911503251047</v>
      </c>
      <c r="K1792" s="916">
        <f t="shared" si="240"/>
        <v>742764</v>
      </c>
      <c r="L1792" s="896" t="s">
        <v>169</v>
      </c>
      <c r="M1792" s="935" t="s">
        <v>167</v>
      </c>
      <c r="N1792" s="52" t="str">
        <f>IF(AND('331-CT'!$E$7=TH!H1792,OR(L1792="331",M1792="331")),"331",IF(AND(OR(L1792="131",M1792="131"),H1792='131-CT'!$E$7),"131",""))</f>
        <v/>
      </c>
      <c r="O1792" s="89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54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241"/>
        <v>11</v>
      </c>
      <c r="C1793" s="48">
        <f t="shared" si="239"/>
        <v>41948</v>
      </c>
      <c r="D1793" s="914" t="s">
        <v>1383</v>
      </c>
      <c r="E1793" s="914">
        <v>41948</v>
      </c>
      <c r="F1793" s="915" t="s">
        <v>709</v>
      </c>
      <c r="G1793" s="936" t="s">
        <v>764</v>
      </c>
      <c r="H1793" s="919" t="s">
        <v>1376</v>
      </c>
      <c r="I1793" s="254">
        <v>101</v>
      </c>
      <c r="J1793" s="254">
        <v>9294.8294563361869</v>
      </c>
      <c r="K1793" s="916">
        <f t="shared" si="240"/>
        <v>938778</v>
      </c>
      <c r="L1793" s="896" t="s">
        <v>169</v>
      </c>
      <c r="M1793" s="935" t="s">
        <v>167</v>
      </c>
      <c r="N1793" s="52" t="str">
        <f>IF(AND('331-CT'!$E$7=TH!H1793,OR(L1793="331",M1793="331")),"331",IF(AND(OR(L1793="131",M1793="131"),H1793='131-CT'!$E$7),"131",""))</f>
        <v/>
      </c>
      <c r="O1793" s="89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54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241"/>
        <v>11</v>
      </c>
      <c r="C1794" s="48">
        <f t="shared" si="239"/>
        <v>41948</v>
      </c>
      <c r="D1794" s="914" t="s">
        <v>1383</v>
      </c>
      <c r="E1794" s="914">
        <v>41948</v>
      </c>
      <c r="F1794" s="915" t="s">
        <v>790</v>
      </c>
      <c r="G1794" s="936" t="s">
        <v>764</v>
      </c>
      <c r="H1794" s="919" t="s">
        <v>1376</v>
      </c>
      <c r="I1794" s="254">
        <v>3030</v>
      </c>
      <c r="J1794" s="254">
        <v>8061.0025373535082</v>
      </c>
      <c r="K1794" s="916">
        <f t="shared" si="240"/>
        <v>24424838</v>
      </c>
      <c r="L1794" s="896" t="s">
        <v>169</v>
      </c>
      <c r="M1794" s="935" t="s">
        <v>167</v>
      </c>
      <c r="N1794" s="52" t="str">
        <f>IF(AND('331-CT'!$E$7=TH!H1794,OR(L1794="331",M1794="331")),"331",IF(AND(OR(L1794="131",M1794="131"),H1794='131-CT'!$E$7),"131",""))</f>
        <v/>
      </c>
      <c r="O1794" s="89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54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241"/>
        <v>11</v>
      </c>
      <c r="C1795" s="48">
        <f t="shared" si="239"/>
        <v>41950</v>
      </c>
      <c r="D1795" s="914" t="s">
        <v>1383</v>
      </c>
      <c r="E1795" s="914">
        <v>41950</v>
      </c>
      <c r="F1795" s="915" t="s">
        <v>765</v>
      </c>
      <c r="G1795" s="936" t="s">
        <v>766</v>
      </c>
      <c r="H1795" s="919" t="s">
        <v>1376</v>
      </c>
      <c r="I1795" s="254">
        <v>100</v>
      </c>
      <c r="J1795" s="254">
        <v>1974.1230703722877</v>
      </c>
      <c r="K1795" s="916">
        <f t="shared" si="240"/>
        <v>197412</v>
      </c>
      <c r="L1795" s="896" t="s">
        <v>169</v>
      </c>
      <c r="M1795" s="935" t="s">
        <v>167</v>
      </c>
      <c r="N1795" s="52" t="str">
        <f>IF(AND('331-CT'!$E$7=TH!H1795,OR(L1795="331",M1795="331")),"331",IF(AND(OR(L1795="131",M1795="131"),H1795='131-CT'!$E$7),"131",""))</f>
        <v/>
      </c>
      <c r="O1795" s="89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54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241"/>
        <v>11</v>
      </c>
      <c r="C1796" s="48">
        <f t="shared" si="239"/>
        <v>41950</v>
      </c>
      <c r="D1796" s="914" t="s">
        <v>1383</v>
      </c>
      <c r="E1796" s="914">
        <v>41950</v>
      </c>
      <c r="F1796" s="915" t="s">
        <v>767</v>
      </c>
      <c r="G1796" s="936" t="s">
        <v>766</v>
      </c>
      <c r="H1796" s="919" t="s">
        <v>1376</v>
      </c>
      <c r="I1796" s="254">
        <v>100</v>
      </c>
      <c r="J1796" s="254">
        <v>13078.565341216407</v>
      </c>
      <c r="K1796" s="916">
        <f t="shared" si="240"/>
        <v>1307857</v>
      </c>
      <c r="L1796" s="896" t="s">
        <v>169</v>
      </c>
      <c r="M1796" s="935" t="s">
        <v>167</v>
      </c>
      <c r="N1796" s="52" t="str">
        <f>IF(AND('331-CT'!$E$7=TH!H1796,OR(L1796="331",M1796="331")),"331",IF(AND(OR(L1796="131",M1796="131"),H1796='131-CT'!$E$7),"131",""))</f>
        <v/>
      </c>
      <c r="O1796" s="89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54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241"/>
        <v>11</v>
      </c>
      <c r="C1797" s="48">
        <f t="shared" si="239"/>
        <v>41950</v>
      </c>
      <c r="D1797" s="914" t="s">
        <v>1383</v>
      </c>
      <c r="E1797" s="914">
        <v>41950</v>
      </c>
      <c r="F1797" s="915" t="s">
        <v>768</v>
      </c>
      <c r="G1797" s="936" t="s">
        <v>766</v>
      </c>
      <c r="H1797" s="919" t="s">
        <v>1376</v>
      </c>
      <c r="I1797" s="254">
        <v>209</v>
      </c>
      <c r="J1797" s="254">
        <v>6004.6243390490417</v>
      </c>
      <c r="K1797" s="916">
        <f t="shared" si="240"/>
        <v>1254966</v>
      </c>
      <c r="L1797" s="896" t="s">
        <v>169</v>
      </c>
      <c r="M1797" s="935" t="s">
        <v>167</v>
      </c>
      <c r="N1797" s="52" t="str">
        <f>IF(AND('331-CT'!$E$7=TH!H1797,OR(L1797="331",M1797="331")),"331",IF(AND(OR(L1797="131",M1797="131"),H1797='131-CT'!$E$7),"131",""))</f>
        <v/>
      </c>
      <c r="O1797" s="89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54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241"/>
        <v>11</v>
      </c>
      <c r="C1798" s="48">
        <f t="shared" si="239"/>
        <v>41950</v>
      </c>
      <c r="D1798" s="914" t="s">
        <v>1383</v>
      </c>
      <c r="E1798" s="914">
        <v>41950</v>
      </c>
      <c r="F1798" s="915" t="s">
        <v>594</v>
      </c>
      <c r="G1798" s="936" t="s">
        <v>769</v>
      </c>
      <c r="H1798" s="919" t="s">
        <v>1376</v>
      </c>
      <c r="I1798" s="254">
        <v>206</v>
      </c>
      <c r="J1798" s="254">
        <v>24594.283251721419</v>
      </c>
      <c r="K1798" s="916">
        <f t="shared" si="240"/>
        <v>5066422</v>
      </c>
      <c r="L1798" s="896" t="s">
        <v>169</v>
      </c>
      <c r="M1798" s="935" t="s">
        <v>167</v>
      </c>
      <c r="N1798" s="52" t="str">
        <f>IF(AND('331-CT'!$E$7=TH!H1798,OR(L1798="331",M1798="331")),"331",IF(AND(OR(L1798="131",M1798="131"),H1798='131-CT'!$E$7),"131",""))</f>
        <v/>
      </c>
      <c r="O1798" s="89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54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241"/>
        <v>11</v>
      </c>
      <c r="C1799" s="48">
        <f t="shared" si="239"/>
        <v>41955</v>
      </c>
      <c r="D1799" s="914" t="s">
        <v>1383</v>
      </c>
      <c r="E1799" s="914">
        <v>41955</v>
      </c>
      <c r="F1799" s="915" t="s">
        <v>437</v>
      </c>
      <c r="G1799" s="936" t="s">
        <v>770</v>
      </c>
      <c r="H1799" s="919" t="s">
        <v>1376</v>
      </c>
      <c r="I1799" s="254">
        <v>504</v>
      </c>
      <c r="J1799" s="254">
        <v>7814.2371535569719</v>
      </c>
      <c r="K1799" s="916">
        <f t="shared" si="240"/>
        <v>3938376</v>
      </c>
      <c r="L1799" s="896" t="s">
        <v>169</v>
      </c>
      <c r="M1799" s="935" t="s">
        <v>167</v>
      </c>
      <c r="N1799" s="52" t="str">
        <f>IF(AND('331-CT'!$E$7=TH!H1799,OR(L1799="331",M1799="331")),"331",IF(AND(OR(L1799="131",M1799="131"),H1799='131-CT'!$E$7),"131",""))</f>
        <v/>
      </c>
      <c r="O1799" s="89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54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241"/>
        <v>11</v>
      </c>
      <c r="C1800" s="48">
        <f t="shared" si="239"/>
        <v>41955</v>
      </c>
      <c r="D1800" s="914" t="s">
        <v>1383</v>
      </c>
      <c r="E1800" s="914">
        <v>41955</v>
      </c>
      <c r="F1800" s="915" t="s">
        <v>437</v>
      </c>
      <c r="G1800" s="936" t="s">
        <v>770</v>
      </c>
      <c r="H1800" s="919" t="s">
        <v>1376</v>
      </c>
      <c r="I1800" s="254">
        <v>318</v>
      </c>
      <c r="J1800" s="254">
        <v>7814.2371535569719</v>
      </c>
      <c r="K1800" s="916">
        <f t="shared" si="240"/>
        <v>2484927</v>
      </c>
      <c r="L1800" s="896" t="s">
        <v>169</v>
      </c>
      <c r="M1800" s="935" t="s">
        <v>167</v>
      </c>
      <c r="N1800" s="52" t="str">
        <f>IF(AND('331-CT'!$E$7=TH!H1800,OR(L1800="331",M1800="331")),"331",IF(AND(OR(L1800="131",M1800="131"),H1800='131-CT'!$E$7),"131",""))</f>
        <v/>
      </c>
      <c r="O1800" s="89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54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241"/>
        <v>11</v>
      </c>
      <c r="C1801" s="48">
        <f t="shared" si="239"/>
        <v>41955</v>
      </c>
      <c r="D1801" s="914" t="s">
        <v>1383</v>
      </c>
      <c r="E1801" s="914">
        <v>41955</v>
      </c>
      <c r="F1801" s="915" t="s">
        <v>772</v>
      </c>
      <c r="G1801" s="936" t="s">
        <v>771</v>
      </c>
      <c r="H1801" s="919" t="s">
        <v>1376</v>
      </c>
      <c r="I1801" s="254">
        <v>347</v>
      </c>
      <c r="J1801" s="254">
        <v>19000.93455233327</v>
      </c>
      <c r="K1801" s="916">
        <f t="shared" si="240"/>
        <v>6593324</v>
      </c>
      <c r="L1801" s="896" t="s">
        <v>169</v>
      </c>
      <c r="M1801" s="935" t="s">
        <v>167</v>
      </c>
      <c r="N1801" s="52" t="str">
        <f>IF(AND('331-CT'!$E$7=TH!H1801,OR(L1801="331",M1801="331")),"331",IF(AND(OR(L1801="131",M1801="131"),H1801='131-CT'!$E$7),"131",""))</f>
        <v/>
      </c>
      <c r="O1801" s="89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54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241"/>
        <v>11</v>
      </c>
      <c r="C1802" s="48">
        <f t="shared" ref="C1802:C1865" si="242">E1802</f>
        <v>41955</v>
      </c>
      <c r="D1802" s="914" t="s">
        <v>1383</v>
      </c>
      <c r="E1802" s="914">
        <v>41955</v>
      </c>
      <c r="F1802" s="915" t="s">
        <v>773</v>
      </c>
      <c r="G1802" s="936" t="s">
        <v>771</v>
      </c>
      <c r="H1802" s="919" t="s">
        <v>1376</v>
      </c>
      <c r="I1802" s="254">
        <v>593</v>
      </c>
      <c r="J1802" s="254">
        <v>25170.069147246668</v>
      </c>
      <c r="K1802" s="916">
        <f t="shared" ref="K1802:K1865" si="243">ROUND(I1802*J1802,0)</f>
        <v>14925851</v>
      </c>
      <c r="L1802" s="896" t="s">
        <v>169</v>
      </c>
      <c r="M1802" s="935" t="s">
        <v>167</v>
      </c>
      <c r="N1802" s="52" t="str">
        <f>IF(AND('331-CT'!$E$7=TH!H1802,OR(L1802="331",M1802="331")),"331",IF(AND(OR(L1802="131",M1802="131"),H1802='131-CT'!$E$7),"131",""))</f>
        <v/>
      </c>
      <c r="O1802" s="89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54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241"/>
        <v>11</v>
      </c>
      <c r="C1803" s="48">
        <f t="shared" si="242"/>
        <v>41955</v>
      </c>
      <c r="D1803" s="914" t="s">
        <v>1383</v>
      </c>
      <c r="E1803" s="914">
        <v>41955</v>
      </c>
      <c r="F1803" s="915" t="s">
        <v>747</v>
      </c>
      <c r="G1803" s="936" t="s">
        <v>771</v>
      </c>
      <c r="H1803" s="919" t="s">
        <v>1376</v>
      </c>
      <c r="I1803" s="254">
        <v>1880</v>
      </c>
      <c r="J1803" s="254">
        <v>1233.8269189826799</v>
      </c>
      <c r="K1803" s="916">
        <f t="shared" si="243"/>
        <v>2319595</v>
      </c>
      <c r="L1803" s="896" t="s">
        <v>169</v>
      </c>
      <c r="M1803" s="935" t="s">
        <v>167</v>
      </c>
      <c r="N1803" s="52" t="str">
        <f>IF(AND('331-CT'!$E$7=TH!H1803,OR(L1803="331",M1803="331")),"331",IF(AND(OR(L1803="131",M1803="131"),H1803='131-CT'!$E$7),"131",""))</f>
        <v/>
      </c>
      <c r="O1803" s="89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54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241"/>
        <v>11</v>
      </c>
      <c r="C1804" s="48">
        <f t="shared" si="242"/>
        <v>41956</v>
      </c>
      <c r="D1804" s="914" t="s">
        <v>1383</v>
      </c>
      <c r="E1804" s="914">
        <v>41956</v>
      </c>
      <c r="F1804" s="915" t="s">
        <v>671</v>
      </c>
      <c r="G1804" s="936" t="s">
        <v>774</v>
      </c>
      <c r="H1804" s="919" t="s">
        <v>1376</v>
      </c>
      <c r="I1804" s="254">
        <v>1010</v>
      </c>
      <c r="J1804" s="254">
        <v>7402.9615138960789</v>
      </c>
      <c r="K1804" s="916">
        <f t="shared" si="243"/>
        <v>7476991</v>
      </c>
      <c r="L1804" s="896" t="s">
        <v>169</v>
      </c>
      <c r="M1804" s="935" t="s">
        <v>167</v>
      </c>
      <c r="N1804" s="52" t="str">
        <f>IF(AND('331-CT'!$E$7=TH!H1804,OR(L1804="331",M1804="331")),"331",IF(AND(OR(L1804="131",M1804="131"),H1804='131-CT'!$E$7),"131",""))</f>
        <v/>
      </c>
      <c r="O1804" s="89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54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241"/>
        <v>11</v>
      </c>
      <c r="C1805" s="48">
        <f t="shared" si="242"/>
        <v>41958</v>
      </c>
      <c r="D1805" s="914" t="s">
        <v>1383</v>
      </c>
      <c r="E1805" s="914">
        <v>41958</v>
      </c>
      <c r="F1805" s="915" t="s">
        <v>516</v>
      </c>
      <c r="G1805" s="936" t="s">
        <v>775</v>
      </c>
      <c r="H1805" s="919" t="s">
        <v>1376</v>
      </c>
      <c r="I1805" s="254">
        <v>1012</v>
      </c>
      <c r="J1805" s="254">
        <v>7073.9410021673648</v>
      </c>
      <c r="K1805" s="916">
        <f t="shared" si="243"/>
        <v>7158828</v>
      </c>
      <c r="L1805" s="896" t="s">
        <v>169</v>
      </c>
      <c r="M1805" s="935" t="s">
        <v>167</v>
      </c>
      <c r="N1805" s="52" t="str">
        <f>IF(AND('331-CT'!$E$7=TH!H1805,OR(L1805="331",M1805="331")),"331",IF(AND(OR(L1805="131",M1805="131"),H1805='131-CT'!$E$7),"131",""))</f>
        <v/>
      </c>
      <c r="O1805" s="89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54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241"/>
        <v>11</v>
      </c>
      <c r="C1806" s="48">
        <f t="shared" si="242"/>
        <v>41960</v>
      </c>
      <c r="D1806" s="914" t="s">
        <v>1383</v>
      </c>
      <c r="E1806" s="914">
        <v>41960</v>
      </c>
      <c r="F1806" s="915" t="s">
        <v>776</v>
      </c>
      <c r="G1806" s="936" t="s">
        <v>777</v>
      </c>
      <c r="H1806" s="919" t="s">
        <v>1376</v>
      </c>
      <c r="I1806" s="254">
        <v>1990</v>
      </c>
      <c r="J1806" s="254">
        <v>7402.9615138960789</v>
      </c>
      <c r="K1806" s="916">
        <f t="shared" si="243"/>
        <v>14731893</v>
      </c>
      <c r="L1806" s="896" t="s">
        <v>169</v>
      </c>
      <c r="M1806" s="935" t="s">
        <v>167</v>
      </c>
      <c r="N1806" s="52" t="str">
        <f>IF(AND('331-CT'!$E$7=TH!H1806,OR(L1806="331",M1806="331")),"331",IF(AND(OR(L1806="131",M1806="131"),H1806='131-CT'!$E$7),"131",""))</f>
        <v/>
      </c>
      <c r="O1806" s="89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54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241"/>
        <v>11</v>
      </c>
      <c r="C1807" s="48">
        <f t="shared" si="242"/>
        <v>41962</v>
      </c>
      <c r="D1807" s="914" t="s">
        <v>1383</v>
      </c>
      <c r="E1807" s="914">
        <v>41962</v>
      </c>
      <c r="F1807" s="915" t="s">
        <v>504</v>
      </c>
      <c r="G1807" s="936" t="s">
        <v>779</v>
      </c>
      <c r="H1807" s="919" t="s">
        <v>1376</v>
      </c>
      <c r="I1807" s="254">
        <v>609</v>
      </c>
      <c r="J1807" s="254">
        <v>7402.9615138960789</v>
      </c>
      <c r="K1807" s="916">
        <f t="shared" si="243"/>
        <v>4508404</v>
      </c>
      <c r="L1807" s="896" t="s">
        <v>169</v>
      </c>
      <c r="M1807" s="935" t="s">
        <v>167</v>
      </c>
      <c r="N1807" s="52" t="str">
        <f>IF(AND('331-CT'!$E$7=TH!H1807,OR(L1807="331",M1807="331")),"331",IF(AND(OR(L1807="131",M1807="131"),H1807='131-CT'!$E$7),"131",""))</f>
        <v/>
      </c>
      <c r="O1807" s="896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54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241"/>
        <v>11</v>
      </c>
      <c r="C1808" s="48">
        <f t="shared" si="242"/>
        <v>41962</v>
      </c>
      <c r="D1808" s="914" t="s">
        <v>1383</v>
      </c>
      <c r="E1808" s="914">
        <v>41962</v>
      </c>
      <c r="F1808" s="915" t="s">
        <v>505</v>
      </c>
      <c r="G1808" s="936" t="s">
        <v>779</v>
      </c>
      <c r="H1808" s="919" t="s">
        <v>1376</v>
      </c>
      <c r="I1808" s="254">
        <v>213</v>
      </c>
      <c r="J1808" s="254">
        <v>7814.2371535569719</v>
      </c>
      <c r="K1808" s="916">
        <f t="shared" si="243"/>
        <v>1664433</v>
      </c>
      <c r="L1808" s="896" t="s">
        <v>169</v>
      </c>
      <c r="M1808" s="935" t="s">
        <v>167</v>
      </c>
      <c r="N1808" s="52" t="str">
        <f>IF(AND('331-CT'!$E$7=TH!H1808,OR(L1808="331",M1808="331")),"331",IF(AND(OR(L1808="131",M1808="131"),H1808='131-CT'!$E$7),"131",""))</f>
        <v/>
      </c>
      <c r="O1808" s="89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54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241"/>
        <v>11</v>
      </c>
      <c r="C1809" s="48">
        <f t="shared" si="242"/>
        <v>41962</v>
      </c>
      <c r="D1809" s="914" t="s">
        <v>1383</v>
      </c>
      <c r="E1809" s="914">
        <v>41962</v>
      </c>
      <c r="F1809" s="915" t="s">
        <v>780</v>
      </c>
      <c r="G1809" s="936" t="s">
        <v>779</v>
      </c>
      <c r="H1809" s="919" t="s">
        <v>1376</v>
      </c>
      <c r="I1809" s="254">
        <v>796</v>
      </c>
      <c r="J1809" s="254">
        <v>6991.685874235186</v>
      </c>
      <c r="K1809" s="916">
        <f t="shared" si="243"/>
        <v>5565382</v>
      </c>
      <c r="L1809" s="896" t="s">
        <v>169</v>
      </c>
      <c r="M1809" s="935" t="s">
        <v>167</v>
      </c>
      <c r="N1809" s="52" t="str">
        <f>IF(AND('331-CT'!$E$7=TH!H1809,OR(L1809="331",M1809="331")),"331",IF(AND(OR(L1809="131",M1809="131"),H1809='131-CT'!$E$7),"131",""))</f>
        <v/>
      </c>
      <c r="O1809" s="89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54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241"/>
        <v>11</v>
      </c>
      <c r="C1810" s="48">
        <f t="shared" si="242"/>
        <v>41962</v>
      </c>
      <c r="D1810" s="914" t="s">
        <v>1383</v>
      </c>
      <c r="E1810" s="914">
        <v>41962</v>
      </c>
      <c r="F1810" s="915" t="s">
        <v>406</v>
      </c>
      <c r="G1810" s="936" t="s">
        <v>779</v>
      </c>
      <c r="H1810" s="919" t="s">
        <v>1376</v>
      </c>
      <c r="I1810" s="254">
        <v>402</v>
      </c>
      <c r="J1810" s="254">
        <v>8143.2576652856869</v>
      </c>
      <c r="K1810" s="916">
        <f t="shared" si="243"/>
        <v>3273590</v>
      </c>
      <c r="L1810" s="896" t="s">
        <v>169</v>
      </c>
      <c r="M1810" s="935" t="s">
        <v>167</v>
      </c>
      <c r="N1810" s="52" t="str">
        <f>IF(AND('331-CT'!$E$7=TH!H1810,OR(L1810="331",M1810="331")),"331",IF(AND(OR(L1810="131",M1810="131"),H1810='131-CT'!$E$7),"131",""))</f>
        <v/>
      </c>
      <c r="O1810" s="89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54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241"/>
        <v>11</v>
      </c>
      <c r="C1811" s="48">
        <f t="shared" si="242"/>
        <v>41962</v>
      </c>
      <c r="D1811" s="914" t="s">
        <v>1383</v>
      </c>
      <c r="E1811" s="914">
        <v>41962</v>
      </c>
      <c r="F1811" s="915" t="s">
        <v>781</v>
      </c>
      <c r="G1811" s="936" t="s">
        <v>782</v>
      </c>
      <c r="H1811" s="919" t="s">
        <v>1376</v>
      </c>
      <c r="I1811" s="254">
        <v>975</v>
      </c>
      <c r="J1811" s="254">
        <v>4524.0320362698267</v>
      </c>
      <c r="K1811" s="916">
        <f t="shared" si="243"/>
        <v>4410931</v>
      </c>
      <c r="L1811" s="896" t="s">
        <v>169</v>
      </c>
      <c r="M1811" s="935" t="s">
        <v>167</v>
      </c>
      <c r="N1811" s="52" t="str">
        <f>IF(AND('331-CT'!$E$7=TH!H1811,OR(L1811="331",M1811="331")),"331",IF(AND(OR(L1811="131",M1811="131"),H1811='131-CT'!$E$7),"131",""))</f>
        <v/>
      </c>
      <c r="O1811" s="89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54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241"/>
        <v>11</v>
      </c>
      <c r="C1812" s="48">
        <f t="shared" si="242"/>
        <v>41962</v>
      </c>
      <c r="D1812" s="914" t="s">
        <v>1383</v>
      </c>
      <c r="E1812" s="914">
        <v>41962</v>
      </c>
      <c r="F1812" s="915" t="s">
        <v>784</v>
      </c>
      <c r="G1812" s="936" t="s">
        <v>782</v>
      </c>
      <c r="H1812" s="919" t="s">
        <v>1376</v>
      </c>
      <c r="I1812" s="254">
        <v>1000</v>
      </c>
      <c r="J1812" s="254">
        <v>658.04102345742922</v>
      </c>
      <c r="K1812" s="916">
        <f t="shared" si="243"/>
        <v>658041</v>
      </c>
      <c r="L1812" s="896" t="s">
        <v>169</v>
      </c>
      <c r="M1812" s="935" t="s">
        <v>167</v>
      </c>
      <c r="N1812" s="52" t="str">
        <f>IF(AND('331-CT'!$E$7=TH!H1812,OR(L1812="331",M1812="331")),"331",IF(AND(OR(L1812="131",M1812="131"),H1812='131-CT'!$E$7),"131",""))</f>
        <v/>
      </c>
      <c r="O1812" s="89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54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241"/>
        <v>11</v>
      </c>
      <c r="C1813" s="48">
        <f t="shared" si="242"/>
        <v>41962</v>
      </c>
      <c r="D1813" s="914" t="s">
        <v>1383</v>
      </c>
      <c r="E1813" s="914">
        <v>41962</v>
      </c>
      <c r="F1813" s="915" t="s">
        <v>785</v>
      </c>
      <c r="G1813" s="936" t="s">
        <v>782</v>
      </c>
      <c r="H1813" s="919" t="s">
        <v>1376</v>
      </c>
      <c r="I1813" s="254">
        <v>1000</v>
      </c>
      <c r="J1813" s="254">
        <v>493.53076759307191</v>
      </c>
      <c r="K1813" s="916">
        <f t="shared" si="243"/>
        <v>493531</v>
      </c>
      <c r="L1813" s="896" t="s">
        <v>169</v>
      </c>
      <c r="M1813" s="935" t="s">
        <v>167</v>
      </c>
      <c r="N1813" s="52" t="str">
        <f>IF(AND('331-CT'!$E$7=TH!H1813,OR(L1813="331",M1813="331")),"331",IF(AND(OR(L1813="131",M1813="131"),H1813='131-CT'!$E$7),"131",""))</f>
        <v/>
      </c>
      <c r="O1813" s="89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54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241"/>
        <v>11</v>
      </c>
      <c r="C1814" s="48">
        <f t="shared" si="242"/>
        <v>41962</v>
      </c>
      <c r="D1814" s="914" t="s">
        <v>1383</v>
      </c>
      <c r="E1814" s="914">
        <v>41962</v>
      </c>
      <c r="F1814" s="915" t="s">
        <v>786</v>
      </c>
      <c r="G1814" s="936" t="s">
        <v>782</v>
      </c>
      <c r="H1814" s="919" t="s">
        <v>1376</v>
      </c>
      <c r="I1814" s="254">
        <v>978</v>
      </c>
      <c r="J1814" s="254">
        <v>3372.4602452193249</v>
      </c>
      <c r="K1814" s="916">
        <f t="shared" si="243"/>
        <v>3298266</v>
      </c>
      <c r="L1814" s="896" t="s">
        <v>169</v>
      </c>
      <c r="M1814" s="935" t="s">
        <v>167</v>
      </c>
      <c r="N1814" s="52" t="str">
        <f>IF(AND('331-CT'!$E$7=TH!H1814,OR(L1814="331",M1814="331")),"331",IF(AND(OR(L1814="131",M1814="131"),H1814='131-CT'!$E$7),"131",""))</f>
        <v/>
      </c>
      <c r="O1814" s="89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54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241"/>
        <v>11</v>
      </c>
      <c r="C1815" s="48">
        <f t="shared" si="242"/>
        <v>41962</v>
      </c>
      <c r="D1815" s="914" t="s">
        <v>1383</v>
      </c>
      <c r="E1815" s="914">
        <v>41962</v>
      </c>
      <c r="F1815" s="915" t="s">
        <v>787</v>
      </c>
      <c r="G1815" s="936" t="s">
        <v>782</v>
      </c>
      <c r="H1815" s="919" t="s">
        <v>1376</v>
      </c>
      <c r="I1815" s="254">
        <v>1000</v>
      </c>
      <c r="J1815" s="254">
        <v>575.78589552525068</v>
      </c>
      <c r="K1815" s="916">
        <f t="shared" si="243"/>
        <v>575786</v>
      </c>
      <c r="L1815" s="896" t="s">
        <v>169</v>
      </c>
      <c r="M1815" s="935" t="s">
        <v>167</v>
      </c>
      <c r="N1815" s="52" t="str">
        <f>IF(AND('331-CT'!$E$7=TH!H1815,OR(L1815="331",M1815="331")),"331",IF(AND(OR(L1815="131",M1815="131"),H1815='131-CT'!$E$7),"131",""))</f>
        <v/>
      </c>
      <c r="O1815" s="89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54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241"/>
        <v>11</v>
      </c>
      <c r="C1816" s="48">
        <f t="shared" si="242"/>
        <v>41962</v>
      </c>
      <c r="D1816" s="914" t="s">
        <v>1383</v>
      </c>
      <c r="E1816" s="914">
        <v>41962</v>
      </c>
      <c r="F1816" s="915" t="s">
        <v>788</v>
      </c>
      <c r="G1816" s="936" t="s">
        <v>782</v>
      </c>
      <c r="H1816" s="919" t="s">
        <v>1376</v>
      </c>
      <c r="I1816" s="254">
        <v>1000</v>
      </c>
      <c r="J1816" s="254">
        <v>329.02051172871461</v>
      </c>
      <c r="K1816" s="916">
        <f t="shared" si="243"/>
        <v>329021</v>
      </c>
      <c r="L1816" s="896" t="s">
        <v>169</v>
      </c>
      <c r="M1816" s="935" t="s">
        <v>167</v>
      </c>
      <c r="N1816" s="52" t="str">
        <f>IF(AND('331-CT'!$E$7=TH!H1816,OR(L1816="331",M1816="331")),"331",IF(AND(OR(L1816="131",M1816="131"),H1816='131-CT'!$E$7),"131",""))</f>
        <v/>
      </c>
      <c r="O1816" s="89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54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241"/>
        <v>11</v>
      </c>
      <c r="C1817" s="48">
        <f t="shared" si="242"/>
        <v>41963</v>
      </c>
      <c r="D1817" s="914" t="s">
        <v>1383</v>
      </c>
      <c r="E1817" s="914">
        <v>41963</v>
      </c>
      <c r="F1817" s="915" t="s">
        <v>460</v>
      </c>
      <c r="G1817" s="936" t="s">
        <v>789</v>
      </c>
      <c r="H1817" s="919" t="s">
        <v>1376</v>
      </c>
      <c r="I1817" s="254">
        <v>993</v>
      </c>
      <c r="J1817" s="254">
        <v>7567.4717697604365</v>
      </c>
      <c r="K1817" s="916">
        <f t="shared" si="243"/>
        <v>7514499</v>
      </c>
      <c r="L1817" s="896" t="s">
        <v>169</v>
      </c>
      <c r="M1817" s="935" t="s">
        <v>167</v>
      </c>
      <c r="N1817" s="52" t="str">
        <f>IF(AND('331-CT'!$E$7=TH!H1817,OR(L1817="331",M1817="331")),"331",IF(AND(OR(L1817="131",M1817="131"),H1817='131-CT'!$E$7),"131",""))</f>
        <v/>
      </c>
      <c r="O1817" s="89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54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241"/>
        <v>11</v>
      </c>
      <c r="C1818" s="48">
        <f t="shared" si="242"/>
        <v>41963</v>
      </c>
      <c r="D1818" s="914" t="s">
        <v>1383</v>
      </c>
      <c r="E1818" s="914">
        <v>41963</v>
      </c>
      <c r="F1818" s="915" t="s">
        <v>790</v>
      </c>
      <c r="G1818" s="936" t="s">
        <v>791</v>
      </c>
      <c r="H1818" s="919" t="s">
        <v>1376</v>
      </c>
      <c r="I1818" s="254">
        <v>3030</v>
      </c>
      <c r="J1818" s="254">
        <v>8061.0025373535082</v>
      </c>
      <c r="K1818" s="916">
        <f t="shared" si="243"/>
        <v>24424838</v>
      </c>
      <c r="L1818" s="896" t="s">
        <v>169</v>
      </c>
      <c r="M1818" s="935" t="s">
        <v>167</v>
      </c>
      <c r="N1818" s="52" t="str">
        <f>IF(AND('331-CT'!$E$7=TH!H1818,OR(L1818="331",M1818="331")),"331",IF(AND(OR(L1818="131",M1818="131"),H1818='131-CT'!$E$7),"131",""))</f>
        <v/>
      </c>
      <c r="O1818" s="89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54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241"/>
        <v>11</v>
      </c>
      <c r="C1819" s="48">
        <f t="shared" si="242"/>
        <v>41963</v>
      </c>
      <c r="D1819" s="914" t="s">
        <v>1383</v>
      </c>
      <c r="E1819" s="914">
        <v>41963</v>
      </c>
      <c r="F1819" s="915" t="s">
        <v>790</v>
      </c>
      <c r="G1819" s="936" t="s">
        <v>791</v>
      </c>
      <c r="H1819" s="919" t="s">
        <v>1376</v>
      </c>
      <c r="I1819" s="254">
        <v>219</v>
      </c>
      <c r="J1819" s="254">
        <v>8061.0025373535082</v>
      </c>
      <c r="K1819" s="916">
        <f t="shared" si="243"/>
        <v>1765360</v>
      </c>
      <c r="L1819" s="896" t="s">
        <v>169</v>
      </c>
      <c r="M1819" s="935" t="s">
        <v>167</v>
      </c>
      <c r="N1819" s="52" t="str">
        <f>IF(AND('331-CT'!$E$7=TH!H1819,OR(L1819="331",M1819="331")),"331",IF(AND(OR(L1819="131",M1819="131"),H1819='131-CT'!$E$7),"131",""))</f>
        <v/>
      </c>
      <c r="O1819" s="89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54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241"/>
        <v>11</v>
      </c>
      <c r="C1820" s="48">
        <f t="shared" si="242"/>
        <v>41963</v>
      </c>
      <c r="D1820" s="914" t="s">
        <v>1383</v>
      </c>
      <c r="E1820" s="914">
        <v>41963</v>
      </c>
      <c r="F1820" s="915" t="s">
        <v>790</v>
      </c>
      <c r="G1820" s="936" t="s">
        <v>791</v>
      </c>
      <c r="H1820" s="919" t="s">
        <v>1376</v>
      </c>
      <c r="I1820" s="254">
        <v>3167</v>
      </c>
      <c r="J1820" s="254">
        <v>8061.0025373535082</v>
      </c>
      <c r="K1820" s="916">
        <f t="shared" si="243"/>
        <v>25529195</v>
      </c>
      <c r="L1820" s="896" t="s">
        <v>169</v>
      </c>
      <c r="M1820" s="935" t="s">
        <v>167</v>
      </c>
      <c r="N1820" s="52" t="str">
        <f>IF(AND('331-CT'!$E$7=TH!H1820,OR(L1820="331",M1820="331")),"331",IF(AND(OR(L1820="131",M1820="131"),H1820='131-CT'!$E$7),"131",""))</f>
        <v/>
      </c>
      <c r="O1820" s="89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54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241"/>
        <v>11</v>
      </c>
      <c r="C1821" s="48">
        <f t="shared" si="242"/>
        <v>41964</v>
      </c>
      <c r="D1821" s="914" t="s">
        <v>1383</v>
      </c>
      <c r="E1821" s="914">
        <v>41964</v>
      </c>
      <c r="F1821" s="915" t="s">
        <v>1211</v>
      </c>
      <c r="G1821" s="936" t="s">
        <v>792</v>
      </c>
      <c r="H1821" s="919" t="s">
        <v>1376</v>
      </c>
      <c r="I1821" s="254">
        <v>780</v>
      </c>
      <c r="J1821" s="254">
        <v>9377.0845842683666</v>
      </c>
      <c r="K1821" s="916">
        <f t="shared" si="243"/>
        <v>7314126</v>
      </c>
      <c r="L1821" s="896" t="s">
        <v>169</v>
      </c>
      <c r="M1821" s="935" t="s">
        <v>167</v>
      </c>
      <c r="N1821" s="52" t="str">
        <f>IF(AND('331-CT'!$E$7=TH!H1821,OR(L1821="331",M1821="331")),"331",IF(AND(OR(L1821="131",M1821="131"),H1821='131-CT'!$E$7),"131",""))</f>
        <v/>
      </c>
      <c r="O1821" s="89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54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241"/>
        <v>11</v>
      </c>
      <c r="C1822" s="48">
        <f t="shared" si="242"/>
        <v>41964</v>
      </c>
      <c r="D1822" s="914" t="s">
        <v>1383</v>
      </c>
      <c r="E1822" s="914">
        <v>41964</v>
      </c>
      <c r="F1822" s="915" t="s">
        <v>446</v>
      </c>
      <c r="G1822" s="936" t="s">
        <v>792</v>
      </c>
      <c r="H1822" s="919" t="s">
        <v>1376</v>
      </c>
      <c r="I1822" s="254">
        <v>1600</v>
      </c>
      <c r="J1822" s="254">
        <v>822.55127932178664</v>
      </c>
      <c r="K1822" s="916">
        <f t="shared" si="243"/>
        <v>1316082</v>
      </c>
      <c r="L1822" s="896" t="s">
        <v>169</v>
      </c>
      <c r="M1822" s="935" t="s">
        <v>167</v>
      </c>
      <c r="N1822" s="52" t="str">
        <f>IF(AND('331-CT'!$E$7=TH!H1822,OR(L1822="331",M1822="331")),"331",IF(AND(OR(L1822="131",M1822="131"),H1822='131-CT'!$E$7),"131",""))</f>
        <v/>
      </c>
      <c r="O1822" s="89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54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241"/>
        <v>11</v>
      </c>
      <c r="C1823" s="48">
        <f t="shared" si="242"/>
        <v>41967</v>
      </c>
      <c r="D1823" s="914" t="s">
        <v>1383</v>
      </c>
      <c r="E1823" s="914">
        <v>41967</v>
      </c>
      <c r="F1823" s="915" t="s">
        <v>567</v>
      </c>
      <c r="G1823" s="936" t="s">
        <v>793</v>
      </c>
      <c r="H1823" s="919" t="s">
        <v>1376</v>
      </c>
      <c r="I1823" s="254">
        <v>511</v>
      </c>
      <c r="J1823" s="254">
        <v>7978.7474094213294</v>
      </c>
      <c r="K1823" s="916">
        <f t="shared" si="243"/>
        <v>4077140</v>
      </c>
      <c r="L1823" s="896" t="s">
        <v>169</v>
      </c>
      <c r="M1823" s="935" t="s">
        <v>167</v>
      </c>
      <c r="N1823" s="52" t="str">
        <f>IF(AND('331-CT'!$E$7=TH!H1823,OR(L1823="331",M1823="331")),"331",IF(AND(OR(L1823="131",M1823="131"),H1823='131-CT'!$E$7),"131",""))</f>
        <v/>
      </c>
      <c r="O1823" s="89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54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241"/>
        <v>11</v>
      </c>
      <c r="C1824" s="48">
        <f t="shared" si="242"/>
        <v>41968</v>
      </c>
      <c r="D1824" s="914" t="s">
        <v>1383</v>
      </c>
      <c r="E1824" s="914">
        <v>41968</v>
      </c>
      <c r="F1824" s="915" t="s">
        <v>794</v>
      </c>
      <c r="G1824" s="936" t="s">
        <v>795</v>
      </c>
      <c r="H1824" s="919" t="s">
        <v>1376</v>
      </c>
      <c r="I1824" s="254">
        <v>3160</v>
      </c>
      <c r="J1824" s="254">
        <v>8143.2576652856869</v>
      </c>
      <c r="K1824" s="916">
        <f t="shared" si="243"/>
        <v>25732694</v>
      </c>
      <c r="L1824" s="896" t="s">
        <v>169</v>
      </c>
      <c r="M1824" s="935" t="s">
        <v>167</v>
      </c>
      <c r="N1824" s="52" t="str">
        <f>IF(AND('331-CT'!$E$7=TH!H1824,OR(L1824="331",M1824="331")),"331",IF(AND(OR(L1824="131",M1824="131"),H1824='131-CT'!$E$7),"131",""))</f>
        <v/>
      </c>
      <c r="O1824" s="89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54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241"/>
        <v>11</v>
      </c>
      <c r="C1825" s="48">
        <f t="shared" si="242"/>
        <v>41968</v>
      </c>
      <c r="D1825" s="914" t="s">
        <v>1383</v>
      </c>
      <c r="E1825" s="914">
        <v>41968</v>
      </c>
      <c r="F1825" s="915" t="s">
        <v>723</v>
      </c>
      <c r="G1825" s="936" t="s">
        <v>796</v>
      </c>
      <c r="H1825" s="919" t="s">
        <v>1376</v>
      </c>
      <c r="I1825" s="254">
        <v>33</v>
      </c>
      <c r="J1825" s="254">
        <v>19576.720447858519</v>
      </c>
      <c r="K1825" s="916">
        <f t="shared" si="243"/>
        <v>646032</v>
      </c>
      <c r="L1825" s="896" t="s">
        <v>169</v>
      </c>
      <c r="M1825" s="935" t="s">
        <v>167</v>
      </c>
      <c r="N1825" s="52" t="str">
        <f>IF(AND('331-CT'!$E$7=TH!H1825,OR(L1825="331",M1825="331")),"331",IF(AND(OR(L1825="131",M1825="131"),H1825='131-CT'!$E$7),"131",""))</f>
        <v/>
      </c>
      <c r="O1825" s="89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54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241"/>
        <v>11</v>
      </c>
      <c r="C1826" s="48">
        <f t="shared" si="242"/>
        <v>41968</v>
      </c>
      <c r="D1826" s="914" t="s">
        <v>1383</v>
      </c>
      <c r="E1826" s="914">
        <v>41968</v>
      </c>
      <c r="F1826" s="915" t="s">
        <v>772</v>
      </c>
      <c r="G1826" s="936" t="s">
        <v>796</v>
      </c>
      <c r="H1826" s="919" t="s">
        <v>1376</v>
      </c>
      <c r="I1826" s="254">
        <v>56</v>
      </c>
      <c r="J1826" s="254">
        <v>19000.93455233327</v>
      </c>
      <c r="K1826" s="916">
        <f t="shared" si="243"/>
        <v>1064052</v>
      </c>
      <c r="L1826" s="896" t="s">
        <v>169</v>
      </c>
      <c r="M1826" s="935" t="s">
        <v>167</v>
      </c>
      <c r="N1826" s="52" t="str">
        <f>IF(AND('331-CT'!$E$7=TH!H1826,OR(L1826="331",M1826="331")),"331",IF(AND(OR(L1826="131",M1826="131"),H1826='131-CT'!$E$7),"131",""))</f>
        <v/>
      </c>
      <c r="O1826" s="89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54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241"/>
        <v>11</v>
      </c>
      <c r="C1827" s="48">
        <f t="shared" si="242"/>
        <v>41968</v>
      </c>
      <c r="D1827" s="914" t="s">
        <v>1383</v>
      </c>
      <c r="E1827" s="914">
        <v>41968</v>
      </c>
      <c r="F1827" s="915" t="s">
        <v>747</v>
      </c>
      <c r="G1827" s="936" t="s">
        <v>796</v>
      </c>
      <c r="H1827" s="919" t="s">
        <v>1376</v>
      </c>
      <c r="I1827" s="254">
        <v>178</v>
      </c>
      <c r="J1827" s="254">
        <v>1233.8269189826799</v>
      </c>
      <c r="K1827" s="916">
        <f t="shared" si="243"/>
        <v>219621</v>
      </c>
      <c r="L1827" s="896" t="s">
        <v>169</v>
      </c>
      <c r="M1827" s="935" t="s">
        <v>167</v>
      </c>
      <c r="N1827" s="52" t="str">
        <f>IF(AND('331-CT'!$E$7=TH!H1827,OR(L1827="331",M1827="331")),"331",IF(AND(OR(L1827="131",M1827="131"),H1827='131-CT'!$E$7),"131",""))</f>
        <v/>
      </c>
      <c r="O1827" s="89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54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241"/>
        <v>11</v>
      </c>
      <c r="C1828" s="48">
        <f t="shared" si="242"/>
        <v>41970</v>
      </c>
      <c r="D1828" s="914" t="s">
        <v>1383</v>
      </c>
      <c r="E1828" s="914">
        <v>41970</v>
      </c>
      <c r="F1828" s="915" t="s">
        <v>797</v>
      </c>
      <c r="G1828" s="936" t="s">
        <v>798</v>
      </c>
      <c r="H1828" s="919" t="s">
        <v>1376</v>
      </c>
      <c r="I1828" s="254">
        <v>100</v>
      </c>
      <c r="J1828" s="254">
        <v>14476.902516063443</v>
      </c>
      <c r="K1828" s="916">
        <f t="shared" si="243"/>
        <v>1447690</v>
      </c>
      <c r="L1828" s="896" t="s">
        <v>169</v>
      </c>
      <c r="M1828" s="935" t="s">
        <v>167</v>
      </c>
      <c r="N1828" s="52" t="str">
        <f>IF(AND('331-CT'!$E$7=TH!H1828,OR(L1828="331",M1828="331")),"331",IF(AND(OR(L1828="131",M1828="131"),H1828='131-CT'!$E$7),"131",""))</f>
        <v/>
      </c>
      <c r="O1828" s="89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54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241"/>
        <v>11</v>
      </c>
      <c r="C1829" s="48">
        <f t="shared" si="242"/>
        <v>41970</v>
      </c>
      <c r="D1829" s="914" t="s">
        <v>1383</v>
      </c>
      <c r="E1829" s="914">
        <v>41970</v>
      </c>
      <c r="F1829" s="915" t="s">
        <v>509</v>
      </c>
      <c r="G1829" s="936" t="s">
        <v>800</v>
      </c>
      <c r="H1829" s="919" t="s">
        <v>1376</v>
      </c>
      <c r="I1829" s="254">
        <v>333</v>
      </c>
      <c r="J1829" s="254">
        <v>7731.9820256247931</v>
      </c>
      <c r="K1829" s="916">
        <f t="shared" si="243"/>
        <v>2574750</v>
      </c>
      <c r="L1829" s="896" t="s">
        <v>169</v>
      </c>
      <c r="M1829" s="935" t="s">
        <v>167</v>
      </c>
      <c r="N1829" s="52" t="str">
        <f>IF(AND('331-CT'!$E$7=TH!H1829,OR(L1829="331",M1829="331")),"331",IF(AND(OR(L1829="131",M1829="131"),H1829='131-CT'!$E$7),"131",""))</f>
        <v/>
      </c>
      <c r="O1829" s="89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54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241"/>
        <v>11</v>
      </c>
      <c r="C1830" s="48">
        <f t="shared" si="242"/>
        <v>41970</v>
      </c>
      <c r="D1830" s="914" t="s">
        <v>1383</v>
      </c>
      <c r="E1830" s="914">
        <v>41970</v>
      </c>
      <c r="F1830" s="915" t="s">
        <v>488</v>
      </c>
      <c r="G1830" s="936" t="s">
        <v>800</v>
      </c>
      <c r="H1830" s="919" t="s">
        <v>1376</v>
      </c>
      <c r="I1830" s="254">
        <v>219</v>
      </c>
      <c r="J1830" s="254">
        <v>7649.7268976926152</v>
      </c>
      <c r="K1830" s="916">
        <f t="shared" si="243"/>
        <v>1675290</v>
      </c>
      <c r="L1830" s="896" t="s">
        <v>169</v>
      </c>
      <c r="M1830" s="935" t="s">
        <v>167</v>
      </c>
      <c r="N1830" s="52" t="str">
        <f>IF(AND('331-CT'!$E$7=TH!H1830,OR(L1830="331",M1830="331")),"331",IF(AND(OR(L1830="131",M1830="131"),H1830='131-CT'!$E$7),"131",""))</f>
        <v/>
      </c>
      <c r="O1830" s="89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54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241"/>
        <v>11</v>
      </c>
      <c r="C1831" s="48">
        <f t="shared" si="242"/>
        <v>41970</v>
      </c>
      <c r="D1831" s="914" t="s">
        <v>1383</v>
      </c>
      <c r="E1831" s="914">
        <v>41970</v>
      </c>
      <c r="F1831" s="915" t="s">
        <v>487</v>
      </c>
      <c r="G1831" s="936" t="s">
        <v>800</v>
      </c>
      <c r="H1831" s="919" t="s">
        <v>1376</v>
      </c>
      <c r="I1831" s="254">
        <v>112</v>
      </c>
      <c r="J1831" s="254">
        <v>7320.7063859639002</v>
      </c>
      <c r="K1831" s="916">
        <f t="shared" si="243"/>
        <v>819919</v>
      </c>
      <c r="L1831" s="896" t="s">
        <v>169</v>
      </c>
      <c r="M1831" s="935" t="s">
        <v>167</v>
      </c>
      <c r="N1831" s="52" t="str">
        <f>IF(AND('331-CT'!$E$7=TH!H1831,OR(L1831="331",M1831="331")),"331",IF(AND(OR(L1831="131",M1831="131"),H1831='131-CT'!$E$7),"131",""))</f>
        <v/>
      </c>
      <c r="O1831" s="89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54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241"/>
        <v>11</v>
      </c>
      <c r="C1832" s="48">
        <f t="shared" si="242"/>
        <v>41970</v>
      </c>
      <c r="D1832" s="914" t="s">
        <v>1383</v>
      </c>
      <c r="E1832" s="914">
        <v>41970</v>
      </c>
      <c r="F1832" s="915" t="s">
        <v>631</v>
      </c>
      <c r="G1832" s="936" t="s">
        <v>801</v>
      </c>
      <c r="H1832" s="919" t="s">
        <v>1376</v>
      </c>
      <c r="I1832" s="254">
        <v>110</v>
      </c>
      <c r="J1832" s="254">
        <v>3619.2256290158607</v>
      </c>
      <c r="K1832" s="916">
        <f t="shared" si="243"/>
        <v>398115</v>
      </c>
      <c r="L1832" s="896" t="s">
        <v>169</v>
      </c>
      <c r="M1832" s="935" t="s">
        <v>167</v>
      </c>
      <c r="N1832" s="52" t="str">
        <f>IF(AND('331-CT'!$E$7=TH!H1832,OR(L1832="331",M1832="331")),"331",IF(AND(OR(L1832="131",M1832="131"),H1832='131-CT'!$E$7),"131",""))</f>
        <v/>
      </c>
      <c r="O1832" s="89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54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241"/>
        <v>11</v>
      </c>
      <c r="C1833" s="48">
        <f t="shared" si="242"/>
        <v>41970</v>
      </c>
      <c r="D1833" s="914" t="s">
        <v>1383</v>
      </c>
      <c r="E1833" s="914">
        <v>41970</v>
      </c>
      <c r="F1833" s="915" t="s">
        <v>633</v>
      </c>
      <c r="G1833" s="936" t="s">
        <v>801</v>
      </c>
      <c r="H1833" s="919" t="s">
        <v>1376</v>
      </c>
      <c r="I1833" s="254">
        <v>260</v>
      </c>
      <c r="J1833" s="254">
        <v>6333.6448507777568</v>
      </c>
      <c r="K1833" s="916">
        <f t="shared" si="243"/>
        <v>1646748</v>
      </c>
      <c r="L1833" s="896" t="s">
        <v>169</v>
      </c>
      <c r="M1833" s="935" t="s">
        <v>167</v>
      </c>
      <c r="N1833" s="52" t="str">
        <f>IF(AND('331-CT'!$E$7=TH!H1833,OR(L1833="331",M1833="331")),"331",IF(AND(OR(L1833="131",M1833="131"),H1833='131-CT'!$E$7),"131",""))</f>
        <v/>
      </c>
      <c r="O1833" s="89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54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241"/>
        <v>11</v>
      </c>
      <c r="C1834" s="48">
        <f t="shared" si="242"/>
        <v>41970</v>
      </c>
      <c r="D1834" s="914" t="s">
        <v>1383</v>
      </c>
      <c r="E1834" s="914">
        <v>41970</v>
      </c>
      <c r="F1834" s="915" t="s">
        <v>632</v>
      </c>
      <c r="G1834" s="936" t="s">
        <v>801</v>
      </c>
      <c r="H1834" s="919" t="s">
        <v>1376</v>
      </c>
      <c r="I1834" s="254">
        <v>450</v>
      </c>
      <c r="J1834" s="254">
        <v>3865.9910128123965</v>
      </c>
      <c r="K1834" s="916">
        <f t="shared" si="243"/>
        <v>1739696</v>
      </c>
      <c r="L1834" s="896" t="s">
        <v>169</v>
      </c>
      <c r="M1834" s="935" t="s">
        <v>167</v>
      </c>
      <c r="N1834" s="52" t="str">
        <f>IF(AND('331-CT'!$E$7=TH!H1834,OR(L1834="331",M1834="331")),"331",IF(AND(OR(L1834="131",M1834="131"),H1834='131-CT'!$E$7),"131",""))</f>
        <v/>
      </c>
      <c r="O1834" s="89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54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241"/>
        <v>11</v>
      </c>
      <c r="C1835" s="48">
        <f t="shared" si="242"/>
        <v>41972</v>
      </c>
      <c r="D1835" s="914" t="s">
        <v>1383</v>
      </c>
      <c r="E1835" s="914">
        <v>41972</v>
      </c>
      <c r="F1835" s="915" t="s">
        <v>671</v>
      </c>
      <c r="G1835" s="936" t="s">
        <v>802</v>
      </c>
      <c r="H1835" s="919" t="s">
        <v>1376</v>
      </c>
      <c r="I1835" s="254">
        <v>1000</v>
      </c>
      <c r="J1835" s="254">
        <v>7402.9615138960789</v>
      </c>
      <c r="K1835" s="916">
        <f t="shared" si="243"/>
        <v>7402962</v>
      </c>
      <c r="L1835" s="896" t="s">
        <v>169</v>
      </c>
      <c r="M1835" s="935" t="s">
        <v>167</v>
      </c>
      <c r="N1835" s="52" t="str">
        <f>IF(AND('331-CT'!$E$7=TH!H1835,OR(L1835="331",M1835="331")),"331",IF(AND(OR(L1835="131",M1835="131"),H1835='131-CT'!$E$7),"131",""))</f>
        <v/>
      </c>
      <c r="O1835" s="89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54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241"/>
        <v>11</v>
      </c>
      <c r="C1836" s="48">
        <f t="shared" si="242"/>
        <v>41973</v>
      </c>
      <c r="D1836" s="914" t="s">
        <v>1383</v>
      </c>
      <c r="E1836" s="914">
        <v>41973</v>
      </c>
      <c r="F1836" s="915" t="s">
        <v>671</v>
      </c>
      <c r="G1836" s="936" t="s">
        <v>803</v>
      </c>
      <c r="H1836" s="919" t="s">
        <v>1376</v>
      </c>
      <c r="I1836" s="254">
        <v>987</v>
      </c>
      <c r="J1836" s="254">
        <v>7402.9615138960789</v>
      </c>
      <c r="K1836" s="916">
        <f t="shared" si="243"/>
        <v>7306723</v>
      </c>
      <c r="L1836" s="896" t="s">
        <v>169</v>
      </c>
      <c r="M1836" s="935" t="s">
        <v>167</v>
      </c>
      <c r="N1836" s="52" t="str">
        <f>IF(AND('331-CT'!$E$7=TH!H1836,OR(L1836="331",M1836="331")),"331",IF(AND(OR(L1836="131",M1836="131"),H1836='131-CT'!$E$7),"131",""))</f>
        <v/>
      </c>
      <c r="O1836" s="896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54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241"/>
        <v>11</v>
      </c>
      <c r="C1837" s="48">
        <f t="shared" si="242"/>
        <v>41973</v>
      </c>
      <c r="D1837" s="914" t="s">
        <v>1383</v>
      </c>
      <c r="E1837" s="914">
        <v>41973</v>
      </c>
      <c r="F1837" s="915" t="s">
        <v>671</v>
      </c>
      <c r="G1837" s="936" t="s">
        <v>803</v>
      </c>
      <c r="H1837" s="919" t="s">
        <v>1376</v>
      </c>
      <c r="I1837" s="254">
        <v>226</v>
      </c>
      <c r="J1837" s="254">
        <v>7402.9615138960789</v>
      </c>
      <c r="K1837" s="916">
        <f t="shared" si="243"/>
        <v>1673069</v>
      </c>
      <c r="L1837" s="896" t="s">
        <v>169</v>
      </c>
      <c r="M1837" s="935" t="s">
        <v>167</v>
      </c>
      <c r="N1837" s="52" t="str">
        <f>IF(AND('331-CT'!$E$7=TH!H1837,OR(L1837="331",M1837="331")),"331",IF(AND(OR(L1837="131",M1837="131"),H1837='131-CT'!$E$7),"131",""))</f>
        <v/>
      </c>
      <c r="O1837" s="89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54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241"/>
        <v>11</v>
      </c>
      <c r="C1838" s="48">
        <f t="shared" si="242"/>
        <v>41973</v>
      </c>
      <c r="D1838" s="914" t="s">
        <v>1383</v>
      </c>
      <c r="E1838" s="914">
        <v>41973</v>
      </c>
      <c r="F1838" s="915" t="s">
        <v>776</v>
      </c>
      <c r="G1838" s="936" t="s">
        <v>804</v>
      </c>
      <c r="H1838" s="919" t="s">
        <v>1376</v>
      </c>
      <c r="I1838" s="254">
        <v>1980</v>
      </c>
      <c r="J1838" s="254">
        <v>7402.9615138960789</v>
      </c>
      <c r="K1838" s="916">
        <f t="shared" si="243"/>
        <v>14657864</v>
      </c>
      <c r="L1838" s="896" t="s">
        <v>169</v>
      </c>
      <c r="M1838" s="935" t="s">
        <v>167</v>
      </c>
      <c r="N1838" s="52" t="str">
        <f>IF(AND('331-CT'!$E$7=TH!H1838,OR(L1838="331",M1838="331")),"331",IF(AND(OR(L1838="131",M1838="131"),H1838='131-CT'!$E$7),"131",""))</f>
        <v/>
      </c>
      <c r="O1838" s="896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54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241"/>
        <v>12</v>
      </c>
      <c r="C1839" s="48">
        <f t="shared" si="242"/>
        <v>41975</v>
      </c>
      <c r="D1839" s="914" t="s">
        <v>1383</v>
      </c>
      <c r="E1839" s="914">
        <v>41975</v>
      </c>
      <c r="F1839" s="915" t="s">
        <v>742</v>
      </c>
      <c r="G1839" s="936" t="s">
        <v>805</v>
      </c>
      <c r="H1839" s="919" t="s">
        <v>1376</v>
      </c>
      <c r="I1839" s="254">
        <v>1059</v>
      </c>
      <c r="J1839" s="254">
        <v>5593.3486993881488</v>
      </c>
      <c r="K1839" s="916">
        <f t="shared" si="243"/>
        <v>5923356</v>
      </c>
      <c r="L1839" s="896" t="s">
        <v>169</v>
      </c>
      <c r="M1839" s="935" t="s">
        <v>167</v>
      </c>
      <c r="N1839" s="52" t="str">
        <f>IF(AND('331-CT'!$E$7=TH!H1839,OR(L1839="331",M1839="331")),"331",IF(AND(OR(L1839="131",M1839="131"),H1839='131-CT'!$E$7),"131",""))</f>
        <v/>
      </c>
      <c r="O1839" s="89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54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241"/>
        <v>12</v>
      </c>
      <c r="C1840" s="48">
        <f t="shared" si="242"/>
        <v>41979</v>
      </c>
      <c r="D1840" s="914" t="s">
        <v>1383</v>
      </c>
      <c r="E1840" s="914">
        <v>41979</v>
      </c>
      <c r="F1840" s="915" t="s">
        <v>806</v>
      </c>
      <c r="G1840" s="936" t="s">
        <v>807</v>
      </c>
      <c r="H1840" s="919" t="s">
        <v>1376</v>
      </c>
      <c r="I1840" s="254">
        <v>106</v>
      </c>
      <c r="J1840" s="254">
        <v>7238.4512580317214</v>
      </c>
      <c r="K1840" s="916">
        <f t="shared" si="243"/>
        <v>767276</v>
      </c>
      <c r="L1840" s="896" t="s">
        <v>169</v>
      </c>
      <c r="M1840" s="935" t="s">
        <v>167</v>
      </c>
      <c r="N1840" s="52" t="str">
        <f>IF(AND('331-CT'!$E$7=TH!H1840,OR(L1840="331",M1840="331")),"331",IF(AND(OR(L1840="131",M1840="131"),H1840='131-CT'!$E$7),"131",""))</f>
        <v/>
      </c>
      <c r="O1840" s="89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54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241"/>
        <v>12</v>
      </c>
      <c r="C1841" s="48">
        <f t="shared" si="242"/>
        <v>41979</v>
      </c>
      <c r="D1841" s="914" t="s">
        <v>1383</v>
      </c>
      <c r="E1841" s="914">
        <v>41979</v>
      </c>
      <c r="F1841" s="915" t="s">
        <v>755</v>
      </c>
      <c r="G1841" s="936" t="s">
        <v>807</v>
      </c>
      <c r="H1841" s="919" t="s">
        <v>1376</v>
      </c>
      <c r="I1841" s="254">
        <v>493</v>
      </c>
      <c r="J1841" s="254">
        <v>5264.3281876594338</v>
      </c>
      <c r="K1841" s="916">
        <f t="shared" si="243"/>
        <v>2595314</v>
      </c>
      <c r="L1841" s="896" t="s">
        <v>169</v>
      </c>
      <c r="M1841" s="935" t="s">
        <v>167</v>
      </c>
      <c r="N1841" s="52" t="str">
        <f>IF(AND('331-CT'!$E$7=TH!H1841,OR(L1841="331",M1841="331")),"331",IF(AND(OR(L1841="131",M1841="131"),H1841='131-CT'!$E$7),"131",""))</f>
        <v/>
      </c>
      <c r="O1841" s="896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54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241"/>
        <v>12</v>
      </c>
      <c r="C1842" s="48">
        <f t="shared" si="242"/>
        <v>41979</v>
      </c>
      <c r="D1842" s="914" t="s">
        <v>1383</v>
      </c>
      <c r="E1842" s="914">
        <v>41979</v>
      </c>
      <c r="F1842" s="915" t="s">
        <v>808</v>
      </c>
      <c r="G1842" s="936" t="s">
        <v>807</v>
      </c>
      <c r="H1842" s="919" t="s">
        <v>1376</v>
      </c>
      <c r="I1842" s="254">
        <v>512</v>
      </c>
      <c r="J1842" s="254">
        <v>3372.4602452193249</v>
      </c>
      <c r="K1842" s="916">
        <f t="shared" si="243"/>
        <v>1726700</v>
      </c>
      <c r="L1842" s="896" t="s">
        <v>169</v>
      </c>
      <c r="M1842" s="935" t="s">
        <v>167</v>
      </c>
      <c r="N1842" s="52" t="str">
        <f>IF(AND('331-CT'!$E$7=TH!H1842,OR(L1842="331",M1842="331")),"331",IF(AND(OR(L1842="131",M1842="131"),H1842='131-CT'!$E$7),"131",""))</f>
        <v/>
      </c>
      <c r="O1842" s="896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54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241"/>
        <v>12</v>
      </c>
      <c r="C1843" s="48">
        <f t="shared" si="242"/>
        <v>41979</v>
      </c>
      <c r="D1843" s="914" t="s">
        <v>1383</v>
      </c>
      <c r="E1843" s="914">
        <v>41979</v>
      </c>
      <c r="F1843" s="915" t="s">
        <v>691</v>
      </c>
      <c r="G1843" s="936" t="s">
        <v>807</v>
      </c>
      <c r="H1843" s="919" t="s">
        <v>1376</v>
      </c>
      <c r="I1843" s="254">
        <v>208</v>
      </c>
      <c r="J1843" s="254">
        <v>6004.6243390490417</v>
      </c>
      <c r="K1843" s="916">
        <f t="shared" si="243"/>
        <v>1248962</v>
      </c>
      <c r="L1843" s="896" t="s">
        <v>169</v>
      </c>
      <c r="M1843" s="935" t="s">
        <v>167</v>
      </c>
      <c r="N1843" s="52" t="str">
        <f>IF(AND('331-CT'!$E$7=TH!H1843,OR(L1843="331",M1843="331")),"331",IF(AND(OR(L1843="131",M1843="131"),H1843='131-CT'!$E$7),"131",""))</f>
        <v/>
      </c>
      <c r="O1843" s="89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54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241"/>
        <v>12</v>
      </c>
      <c r="C1844" s="48">
        <f t="shared" si="242"/>
        <v>41979</v>
      </c>
      <c r="D1844" s="914" t="s">
        <v>1383</v>
      </c>
      <c r="E1844" s="914">
        <v>41979</v>
      </c>
      <c r="F1844" s="915" t="s">
        <v>640</v>
      </c>
      <c r="G1844" s="936" t="s">
        <v>807</v>
      </c>
      <c r="H1844" s="919" t="s">
        <v>1376</v>
      </c>
      <c r="I1844" s="254">
        <v>1016</v>
      </c>
      <c r="J1844" s="254">
        <v>4195.0115245411116</v>
      </c>
      <c r="K1844" s="916">
        <f t="shared" si="243"/>
        <v>4262132</v>
      </c>
      <c r="L1844" s="896" t="s">
        <v>169</v>
      </c>
      <c r="M1844" s="935" t="s">
        <v>167</v>
      </c>
      <c r="N1844" s="52" t="str">
        <f>IF(AND('331-CT'!$E$7=TH!H1844,OR(L1844="331",M1844="331")),"331",IF(AND(OR(L1844="131",M1844="131"),H1844='131-CT'!$E$7),"131",""))</f>
        <v/>
      </c>
      <c r="O1844" s="896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54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241"/>
        <v>12</v>
      </c>
      <c r="C1845" s="48">
        <f t="shared" si="242"/>
        <v>41981</v>
      </c>
      <c r="D1845" s="914" t="s">
        <v>1383</v>
      </c>
      <c r="E1845" s="914">
        <v>41981</v>
      </c>
      <c r="F1845" s="915" t="s">
        <v>516</v>
      </c>
      <c r="G1845" s="936" t="s">
        <v>809</v>
      </c>
      <c r="H1845" s="919" t="s">
        <v>1376</v>
      </c>
      <c r="I1845" s="254">
        <v>1015</v>
      </c>
      <c r="J1845" s="254">
        <v>9459.3397122005445</v>
      </c>
      <c r="K1845" s="916">
        <f t="shared" si="243"/>
        <v>9601230</v>
      </c>
      <c r="L1845" s="896" t="s">
        <v>169</v>
      </c>
      <c r="M1845" s="935" t="s">
        <v>167</v>
      </c>
      <c r="N1845" s="52" t="str">
        <f>IF(AND('331-CT'!$E$7=TH!H1845,OR(L1845="331",M1845="331")),"331",IF(AND(OR(L1845="131",M1845="131"),H1845='131-CT'!$E$7),"131",""))</f>
        <v/>
      </c>
      <c r="O1845" s="89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54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241"/>
        <v>12</v>
      </c>
      <c r="C1846" s="48">
        <f t="shared" si="242"/>
        <v>41982</v>
      </c>
      <c r="D1846" s="914" t="s">
        <v>1383</v>
      </c>
      <c r="E1846" s="914">
        <v>41982</v>
      </c>
      <c r="F1846" s="915" t="s">
        <v>437</v>
      </c>
      <c r="G1846" s="936" t="s">
        <v>810</v>
      </c>
      <c r="H1846" s="919" t="s">
        <v>1376</v>
      </c>
      <c r="I1846" s="254">
        <v>440</v>
      </c>
      <c r="J1846" s="254">
        <v>7814.2371535569719</v>
      </c>
      <c r="K1846" s="916">
        <f t="shared" si="243"/>
        <v>3438264</v>
      </c>
      <c r="L1846" s="896" t="s">
        <v>169</v>
      </c>
      <c r="M1846" s="935" t="s">
        <v>167</v>
      </c>
      <c r="N1846" s="52" t="str">
        <f>IF(AND('331-CT'!$E$7=TH!H1846,OR(L1846="331",M1846="331")),"331",IF(AND(OR(L1846="131",M1846="131"),H1846='131-CT'!$E$7),"131",""))</f>
        <v/>
      </c>
      <c r="O1846" s="896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54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241"/>
        <v>12</v>
      </c>
      <c r="C1847" s="48">
        <f t="shared" si="242"/>
        <v>41982</v>
      </c>
      <c r="D1847" s="914" t="s">
        <v>1383</v>
      </c>
      <c r="E1847" s="914">
        <v>41982</v>
      </c>
      <c r="F1847" s="915" t="s">
        <v>811</v>
      </c>
      <c r="G1847" s="936" t="s">
        <v>810</v>
      </c>
      <c r="H1847" s="919" t="s">
        <v>1376</v>
      </c>
      <c r="I1847" s="254">
        <v>403</v>
      </c>
      <c r="J1847" s="254">
        <v>4770.7974200663621</v>
      </c>
      <c r="K1847" s="916">
        <f t="shared" si="243"/>
        <v>1922631</v>
      </c>
      <c r="L1847" s="896" t="s">
        <v>169</v>
      </c>
      <c r="M1847" s="935" t="s">
        <v>167</v>
      </c>
      <c r="N1847" s="52" t="str">
        <f>IF(AND('331-CT'!$E$7=TH!H1847,OR(L1847="331",M1847="331")),"331",IF(AND(OR(L1847="131",M1847="131"),H1847='131-CT'!$E$7),"131",""))</f>
        <v/>
      </c>
      <c r="O1847" s="896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54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241"/>
        <v>12</v>
      </c>
      <c r="C1848" s="48">
        <f t="shared" si="242"/>
        <v>41982</v>
      </c>
      <c r="D1848" s="914" t="s">
        <v>1383</v>
      </c>
      <c r="E1848" s="914">
        <v>41982</v>
      </c>
      <c r="F1848" s="915" t="s">
        <v>437</v>
      </c>
      <c r="G1848" s="936" t="s">
        <v>812</v>
      </c>
      <c r="H1848" s="919" t="s">
        <v>1376</v>
      </c>
      <c r="I1848" s="254">
        <v>440</v>
      </c>
      <c r="J1848" s="254">
        <v>7814.2371535569719</v>
      </c>
      <c r="K1848" s="916">
        <f t="shared" si="243"/>
        <v>3438264</v>
      </c>
      <c r="L1848" s="896" t="s">
        <v>169</v>
      </c>
      <c r="M1848" s="935" t="s">
        <v>167</v>
      </c>
      <c r="N1848" s="52" t="str">
        <f>IF(AND('331-CT'!$E$7=TH!H1848,OR(L1848="331",M1848="331")),"331",IF(AND(OR(L1848="131",M1848="131"),H1848='131-CT'!$E$7),"131",""))</f>
        <v/>
      </c>
      <c r="O1848" s="896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54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241"/>
        <v>12</v>
      </c>
      <c r="C1849" s="48">
        <f t="shared" si="242"/>
        <v>41985</v>
      </c>
      <c r="D1849" s="914" t="s">
        <v>1383</v>
      </c>
      <c r="E1849" s="914">
        <v>41985</v>
      </c>
      <c r="F1849" s="915" t="s">
        <v>484</v>
      </c>
      <c r="G1849" s="936" t="s">
        <v>813</v>
      </c>
      <c r="H1849" s="919" t="s">
        <v>1376</v>
      </c>
      <c r="I1849" s="254">
        <v>411</v>
      </c>
      <c r="J1849" s="254">
        <v>11022.18714291194</v>
      </c>
      <c r="K1849" s="916">
        <f t="shared" si="243"/>
        <v>4530119</v>
      </c>
      <c r="L1849" s="896" t="s">
        <v>169</v>
      </c>
      <c r="M1849" s="935" t="s">
        <v>167</v>
      </c>
      <c r="N1849" s="52" t="str">
        <f>IF(AND('331-CT'!$E$7=TH!H1849,OR(L1849="331",M1849="331")),"331",IF(AND(OR(L1849="131",M1849="131"),H1849='131-CT'!$E$7),"131",""))</f>
        <v/>
      </c>
      <c r="O1849" s="896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54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241"/>
        <v>12</v>
      </c>
      <c r="C1850" s="48">
        <f t="shared" si="242"/>
        <v>41985</v>
      </c>
      <c r="D1850" s="914" t="s">
        <v>1383</v>
      </c>
      <c r="E1850" s="914">
        <v>41985</v>
      </c>
      <c r="F1850" s="915" t="s">
        <v>814</v>
      </c>
      <c r="G1850" s="936" t="s">
        <v>815</v>
      </c>
      <c r="H1850" s="919" t="s">
        <v>1376</v>
      </c>
      <c r="I1850" s="254">
        <v>89</v>
      </c>
      <c r="J1850" s="254">
        <v>20810.547366841198</v>
      </c>
      <c r="K1850" s="916">
        <f t="shared" si="243"/>
        <v>1852139</v>
      </c>
      <c r="L1850" s="896" t="s">
        <v>169</v>
      </c>
      <c r="M1850" s="935" t="s">
        <v>167</v>
      </c>
      <c r="N1850" s="52" t="str">
        <f>IF(AND('331-CT'!$E$7=TH!H1850,OR(L1850="331",M1850="331")),"331",IF(AND(OR(L1850="131",M1850="131"),H1850='131-CT'!$E$7),"131",""))</f>
        <v/>
      </c>
      <c r="O1850" s="89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54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ref="B1851:B1914" si="244">IF(C1851&lt;&gt;"",MONTH(C1851),"")</f>
        <v>12</v>
      </c>
      <c r="C1851" s="48">
        <f t="shared" si="242"/>
        <v>41985</v>
      </c>
      <c r="D1851" s="914" t="s">
        <v>1383</v>
      </c>
      <c r="E1851" s="914">
        <v>41985</v>
      </c>
      <c r="F1851" s="915" t="s">
        <v>816</v>
      </c>
      <c r="G1851" s="936" t="s">
        <v>817</v>
      </c>
      <c r="H1851" s="919" t="s">
        <v>1376</v>
      </c>
      <c r="I1851" s="254">
        <v>350</v>
      </c>
      <c r="J1851" s="254">
        <v>59634.967750829528</v>
      </c>
      <c r="K1851" s="916">
        <f t="shared" si="243"/>
        <v>20872239</v>
      </c>
      <c r="L1851" s="896" t="s">
        <v>169</v>
      </c>
      <c r="M1851" s="935" t="s">
        <v>167</v>
      </c>
      <c r="N1851" s="52" t="str">
        <f>IF(AND('331-CT'!$E$7=TH!H1851,OR(L1851="331",M1851="331")),"331",IF(AND(OR(L1851="131",M1851="131"),H1851='131-CT'!$E$7),"131",""))</f>
        <v/>
      </c>
      <c r="O1851" s="896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54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244"/>
        <v>12</v>
      </c>
      <c r="C1852" s="48">
        <f t="shared" si="242"/>
        <v>41986</v>
      </c>
      <c r="D1852" s="914" t="s">
        <v>1383</v>
      </c>
      <c r="E1852" s="914">
        <v>41986</v>
      </c>
      <c r="F1852" s="915" t="s">
        <v>818</v>
      </c>
      <c r="G1852" s="936" t="s">
        <v>819</v>
      </c>
      <c r="H1852" s="919" t="s">
        <v>1376</v>
      </c>
      <c r="I1852" s="254">
        <v>223</v>
      </c>
      <c r="J1852" s="254">
        <v>7567.4717697604365</v>
      </c>
      <c r="K1852" s="916">
        <f t="shared" si="243"/>
        <v>1687546</v>
      </c>
      <c r="L1852" s="896" t="s">
        <v>169</v>
      </c>
      <c r="M1852" s="935" t="s">
        <v>167</v>
      </c>
      <c r="N1852" s="52" t="str">
        <f>IF(AND('331-CT'!$E$7=TH!H1852,OR(L1852="331",M1852="331")),"331",IF(AND(OR(L1852="131",M1852="131"),H1852='131-CT'!$E$7),"131",""))</f>
        <v/>
      </c>
      <c r="O1852" s="896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54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244"/>
        <v>12</v>
      </c>
      <c r="C1853" s="48">
        <f t="shared" si="242"/>
        <v>41986</v>
      </c>
      <c r="D1853" s="914" t="s">
        <v>1383</v>
      </c>
      <c r="E1853" s="914">
        <v>41986</v>
      </c>
      <c r="F1853" s="915" t="s">
        <v>820</v>
      </c>
      <c r="G1853" s="936" t="s">
        <v>821</v>
      </c>
      <c r="H1853" s="919" t="s">
        <v>1376</v>
      </c>
      <c r="I1853" s="254">
        <v>200</v>
      </c>
      <c r="J1853" s="254">
        <v>61280.0703094731</v>
      </c>
      <c r="K1853" s="916">
        <f t="shared" si="243"/>
        <v>12256014</v>
      </c>
      <c r="L1853" s="896" t="s">
        <v>169</v>
      </c>
      <c r="M1853" s="935" t="s">
        <v>167</v>
      </c>
      <c r="N1853" s="52" t="str">
        <f>IF(AND('331-CT'!$E$7=TH!H1853,OR(L1853="331",M1853="331")),"331",IF(AND(OR(L1853="131",M1853="131"),H1853='131-CT'!$E$7),"131",""))</f>
        <v/>
      </c>
      <c r="O1853" s="89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54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244"/>
        <v>12</v>
      </c>
      <c r="C1854" s="48">
        <f t="shared" si="242"/>
        <v>41986</v>
      </c>
      <c r="D1854" s="914" t="s">
        <v>1383</v>
      </c>
      <c r="E1854" s="914">
        <v>41986</v>
      </c>
      <c r="F1854" s="915" t="s">
        <v>704</v>
      </c>
      <c r="G1854" s="936" t="s">
        <v>822</v>
      </c>
      <c r="H1854" s="919" t="s">
        <v>1376</v>
      </c>
      <c r="I1854" s="254">
        <v>3160</v>
      </c>
      <c r="J1854" s="254">
        <v>7567.4717697604365</v>
      </c>
      <c r="K1854" s="916">
        <f t="shared" si="243"/>
        <v>23913211</v>
      </c>
      <c r="L1854" s="896" t="s">
        <v>169</v>
      </c>
      <c r="M1854" s="935" t="s">
        <v>167</v>
      </c>
      <c r="N1854" s="52" t="str">
        <f>IF(AND('331-CT'!$E$7=TH!H1854,OR(L1854="331",M1854="331")),"331",IF(AND(OR(L1854="131",M1854="131"),H1854='131-CT'!$E$7),"131",""))</f>
        <v/>
      </c>
      <c r="O1854" s="89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54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244"/>
        <v>12</v>
      </c>
      <c r="C1855" s="48">
        <f t="shared" si="242"/>
        <v>41986</v>
      </c>
      <c r="D1855" s="914" t="s">
        <v>1383</v>
      </c>
      <c r="E1855" s="914">
        <v>41986</v>
      </c>
      <c r="F1855" s="915" t="s">
        <v>709</v>
      </c>
      <c r="G1855" s="936" t="s">
        <v>822</v>
      </c>
      <c r="H1855" s="919" t="s">
        <v>1376</v>
      </c>
      <c r="I1855" s="254">
        <v>301</v>
      </c>
      <c r="J1855" s="254">
        <v>9294.8294563361869</v>
      </c>
      <c r="K1855" s="916">
        <f t="shared" si="243"/>
        <v>2797744</v>
      </c>
      <c r="L1855" s="896" t="s">
        <v>169</v>
      </c>
      <c r="M1855" s="935" t="s">
        <v>167</v>
      </c>
      <c r="N1855" s="52" t="str">
        <f>IF(AND('331-CT'!$E$7=TH!H1855,OR(L1855="331",M1855="331")),"331",IF(AND(OR(L1855="131",M1855="131"),H1855='131-CT'!$E$7),"131",""))</f>
        <v/>
      </c>
      <c r="O1855" s="89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54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244"/>
        <v>12</v>
      </c>
      <c r="C1856" s="48">
        <f t="shared" si="242"/>
        <v>41986</v>
      </c>
      <c r="D1856" s="914" t="s">
        <v>1383</v>
      </c>
      <c r="E1856" s="914">
        <v>41986</v>
      </c>
      <c r="F1856" s="915" t="s">
        <v>713</v>
      </c>
      <c r="G1856" s="936" t="s">
        <v>823</v>
      </c>
      <c r="H1856" s="919" t="s">
        <v>1376</v>
      </c>
      <c r="I1856" s="254">
        <v>20</v>
      </c>
      <c r="J1856" s="254">
        <v>9952.8704797936171</v>
      </c>
      <c r="K1856" s="916">
        <f t="shared" si="243"/>
        <v>199057</v>
      </c>
      <c r="L1856" s="896" t="s">
        <v>169</v>
      </c>
      <c r="M1856" s="935" t="s">
        <v>167</v>
      </c>
      <c r="N1856" s="52" t="str">
        <f>IF(AND('331-CT'!$E$7=TH!H1856,OR(L1856="331",M1856="331")),"331",IF(AND(OR(L1856="131",M1856="131"),H1856='131-CT'!$E$7),"131",""))</f>
        <v/>
      </c>
      <c r="O1856" s="89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54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244"/>
        <v>12</v>
      </c>
      <c r="C1857" s="48">
        <f t="shared" si="242"/>
        <v>41986</v>
      </c>
      <c r="D1857" s="914" t="s">
        <v>1383</v>
      </c>
      <c r="E1857" s="914">
        <v>41986</v>
      </c>
      <c r="F1857" s="915" t="s">
        <v>824</v>
      </c>
      <c r="G1857" s="936" t="s">
        <v>823</v>
      </c>
      <c r="H1857" s="919" t="s">
        <v>1376</v>
      </c>
      <c r="I1857" s="254">
        <v>47</v>
      </c>
      <c r="J1857" s="254">
        <v>10035.125607725797</v>
      </c>
      <c r="K1857" s="916">
        <f t="shared" si="243"/>
        <v>471651</v>
      </c>
      <c r="L1857" s="896" t="s">
        <v>169</v>
      </c>
      <c r="M1857" s="935" t="s">
        <v>167</v>
      </c>
      <c r="N1857" s="52" t="str">
        <f>IF(AND('331-CT'!$E$7=TH!H1857,OR(L1857="331",M1857="331")),"331",IF(AND(OR(L1857="131",M1857="131"),H1857='131-CT'!$E$7),"131",""))</f>
        <v/>
      </c>
      <c r="O1857" s="89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54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244"/>
        <v>12</v>
      </c>
      <c r="C1858" s="48">
        <f t="shared" si="242"/>
        <v>41986</v>
      </c>
      <c r="D1858" s="914" t="s">
        <v>1383</v>
      </c>
      <c r="E1858" s="914">
        <v>41986</v>
      </c>
      <c r="F1858" s="915" t="s">
        <v>825</v>
      </c>
      <c r="G1858" s="936" t="s">
        <v>823</v>
      </c>
      <c r="H1858" s="919" t="s">
        <v>1376</v>
      </c>
      <c r="I1858" s="254">
        <v>902</v>
      </c>
      <c r="J1858" s="254">
        <v>15052.688411588695</v>
      </c>
      <c r="K1858" s="916">
        <f t="shared" si="243"/>
        <v>13577525</v>
      </c>
      <c r="L1858" s="896" t="s">
        <v>169</v>
      </c>
      <c r="M1858" s="935" t="s">
        <v>167</v>
      </c>
      <c r="N1858" s="52" t="str">
        <f>IF(AND('331-CT'!$E$7=TH!H1858,OR(L1858="331",M1858="331")),"331",IF(AND(OR(L1858="131",M1858="131"),H1858='131-CT'!$E$7),"131",""))</f>
        <v/>
      </c>
      <c r="O1858" s="89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54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244"/>
        <v>12</v>
      </c>
      <c r="C1859" s="48">
        <f t="shared" si="242"/>
        <v>41988</v>
      </c>
      <c r="D1859" s="914" t="s">
        <v>1383</v>
      </c>
      <c r="E1859" s="914">
        <v>41988</v>
      </c>
      <c r="F1859" s="915" t="s">
        <v>826</v>
      </c>
      <c r="G1859" s="936" t="s">
        <v>827</v>
      </c>
      <c r="H1859" s="919" t="s">
        <v>1376</v>
      </c>
      <c r="I1859" s="254">
        <v>352</v>
      </c>
      <c r="J1859" s="254">
        <v>10775.421759115405</v>
      </c>
      <c r="K1859" s="916">
        <f t="shared" si="243"/>
        <v>3792948</v>
      </c>
      <c r="L1859" s="896" t="s">
        <v>169</v>
      </c>
      <c r="M1859" s="935" t="s">
        <v>167</v>
      </c>
      <c r="N1859" s="52" t="str">
        <f>IF(AND('331-CT'!$E$7=TH!H1859,OR(L1859="331",M1859="331")),"331",IF(AND(OR(L1859="131",M1859="131"),H1859='131-CT'!$E$7),"131",""))</f>
        <v/>
      </c>
      <c r="O1859" s="89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54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244"/>
        <v>12</v>
      </c>
      <c r="C1860" s="48">
        <f t="shared" si="242"/>
        <v>41988</v>
      </c>
      <c r="D1860" s="914" t="s">
        <v>1383</v>
      </c>
      <c r="E1860" s="914">
        <v>41988</v>
      </c>
      <c r="F1860" s="915" t="s">
        <v>828</v>
      </c>
      <c r="G1860" s="936" t="s">
        <v>827</v>
      </c>
      <c r="H1860" s="919" t="s">
        <v>1376</v>
      </c>
      <c r="I1860" s="254">
        <v>52</v>
      </c>
      <c r="J1860" s="254">
        <v>13983.371748470372</v>
      </c>
      <c r="K1860" s="916">
        <f t="shared" si="243"/>
        <v>727135</v>
      </c>
      <c r="L1860" s="896" t="s">
        <v>169</v>
      </c>
      <c r="M1860" s="935" t="s">
        <v>167</v>
      </c>
      <c r="N1860" s="52" t="str">
        <f>IF(AND('331-CT'!$E$7=TH!H1860,OR(L1860="331",M1860="331")),"331",IF(AND(OR(L1860="131",M1860="131"),H1860='131-CT'!$E$7),"131",""))</f>
        <v/>
      </c>
      <c r="O1860" s="89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54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244"/>
        <v>12</v>
      </c>
      <c r="C1861" s="48">
        <f t="shared" si="242"/>
        <v>41988</v>
      </c>
      <c r="D1861" s="914" t="s">
        <v>1383</v>
      </c>
      <c r="E1861" s="914">
        <v>41988</v>
      </c>
      <c r="F1861" s="915" t="s">
        <v>829</v>
      </c>
      <c r="G1861" s="936" t="s">
        <v>827</v>
      </c>
      <c r="H1861" s="919" t="s">
        <v>1376</v>
      </c>
      <c r="I1861" s="254">
        <v>52</v>
      </c>
      <c r="J1861" s="254">
        <v>16204.260202639196</v>
      </c>
      <c r="K1861" s="916">
        <f t="shared" si="243"/>
        <v>842622</v>
      </c>
      <c r="L1861" s="896" t="s">
        <v>169</v>
      </c>
      <c r="M1861" s="935" t="s">
        <v>167</v>
      </c>
      <c r="N1861" s="52" t="str">
        <f>IF(AND('331-CT'!$E$7=TH!H1861,OR(L1861="331",M1861="331")),"331",IF(AND(OR(L1861="131",M1861="131"),H1861='131-CT'!$E$7),"131",""))</f>
        <v/>
      </c>
      <c r="O1861" s="89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54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244"/>
        <v>12</v>
      </c>
      <c r="C1862" s="48">
        <f t="shared" si="242"/>
        <v>41991</v>
      </c>
      <c r="D1862" s="914" t="s">
        <v>1383</v>
      </c>
      <c r="E1862" s="914">
        <v>41991</v>
      </c>
      <c r="F1862" s="915" t="s">
        <v>437</v>
      </c>
      <c r="G1862" s="936" t="s">
        <v>830</v>
      </c>
      <c r="H1862" s="919" t="s">
        <v>1376</v>
      </c>
      <c r="I1862" s="254">
        <v>522</v>
      </c>
      <c r="J1862" s="254">
        <v>7814.2371535569719</v>
      </c>
      <c r="K1862" s="916">
        <f t="shared" si="243"/>
        <v>4079032</v>
      </c>
      <c r="L1862" s="896" t="s">
        <v>169</v>
      </c>
      <c r="M1862" s="935" t="s">
        <v>167</v>
      </c>
      <c r="N1862" s="52" t="str">
        <f>IF(AND('331-CT'!$E$7=TH!H1862,OR(L1862="331",M1862="331")),"331",IF(AND(OR(L1862="131",M1862="131"),H1862='131-CT'!$E$7),"131",""))</f>
        <v/>
      </c>
      <c r="O1862" s="89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54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244"/>
        <v>12</v>
      </c>
      <c r="C1863" s="48">
        <f t="shared" si="242"/>
        <v>41992</v>
      </c>
      <c r="D1863" s="914" t="s">
        <v>1383</v>
      </c>
      <c r="E1863" s="914">
        <v>41992</v>
      </c>
      <c r="F1863" s="915" t="s">
        <v>831</v>
      </c>
      <c r="G1863" s="936" t="s">
        <v>832</v>
      </c>
      <c r="H1863" s="919" t="s">
        <v>1376</v>
      </c>
      <c r="I1863" s="254">
        <v>2500</v>
      </c>
      <c r="J1863" s="254">
        <v>2796.6743496940744</v>
      </c>
      <c r="K1863" s="916">
        <f t="shared" si="243"/>
        <v>6991686</v>
      </c>
      <c r="L1863" s="896" t="s">
        <v>169</v>
      </c>
      <c r="M1863" s="935" t="s">
        <v>167</v>
      </c>
      <c r="N1863" s="52" t="str">
        <f>IF(AND('331-CT'!$E$7=TH!H1863,OR(L1863="331",M1863="331")),"331",IF(AND(OR(L1863="131",M1863="131"),H1863='131-CT'!$E$7),"131",""))</f>
        <v/>
      </c>
      <c r="O1863" s="89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54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244"/>
        <v>12</v>
      </c>
      <c r="C1864" s="48">
        <f t="shared" si="242"/>
        <v>41992</v>
      </c>
      <c r="D1864" s="914" t="s">
        <v>1383</v>
      </c>
      <c r="E1864" s="914">
        <v>41992</v>
      </c>
      <c r="F1864" s="915" t="s">
        <v>834</v>
      </c>
      <c r="G1864" s="936" t="s">
        <v>832</v>
      </c>
      <c r="H1864" s="919" t="s">
        <v>1376</v>
      </c>
      <c r="I1864" s="254">
        <v>2200</v>
      </c>
      <c r="J1864" s="254">
        <v>5017.5628038628984</v>
      </c>
      <c r="K1864" s="916">
        <f t="shared" si="243"/>
        <v>11038638</v>
      </c>
      <c r="L1864" s="896" t="s">
        <v>169</v>
      </c>
      <c r="M1864" s="935" t="s">
        <v>167</v>
      </c>
      <c r="N1864" s="52" t="str">
        <f>IF(AND('331-CT'!$E$7=TH!H1864,OR(L1864="331",M1864="331")),"331",IF(AND(OR(L1864="131",M1864="131"),H1864='131-CT'!$E$7),"131",""))</f>
        <v/>
      </c>
      <c r="O1864" s="89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54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244"/>
        <v>12</v>
      </c>
      <c r="C1865" s="48">
        <f t="shared" si="242"/>
        <v>41993</v>
      </c>
      <c r="D1865" s="914" t="s">
        <v>1383</v>
      </c>
      <c r="E1865" s="914">
        <v>41993</v>
      </c>
      <c r="F1865" s="915" t="s">
        <v>835</v>
      </c>
      <c r="G1865" s="936" t="s">
        <v>836</v>
      </c>
      <c r="H1865" s="919" t="s">
        <v>1376</v>
      </c>
      <c r="I1865" s="254">
        <v>500</v>
      </c>
      <c r="J1865" s="254">
        <v>18178.383273011485</v>
      </c>
      <c r="K1865" s="916">
        <f t="shared" si="243"/>
        <v>9089192</v>
      </c>
      <c r="L1865" s="896" t="s">
        <v>169</v>
      </c>
      <c r="M1865" s="935" t="s">
        <v>167</v>
      </c>
      <c r="N1865" s="52" t="str">
        <f>IF(AND('331-CT'!$E$7=TH!H1865,OR(L1865="331",M1865="331")),"331",IF(AND(OR(L1865="131",M1865="131"),H1865='131-CT'!$E$7),"131",""))</f>
        <v/>
      </c>
      <c r="O1865" s="89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54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244"/>
        <v>12</v>
      </c>
      <c r="C1866" s="48">
        <f t="shared" ref="C1866:C1907" si="245">E1866</f>
        <v>41993</v>
      </c>
      <c r="D1866" s="914" t="s">
        <v>1383</v>
      </c>
      <c r="E1866" s="914">
        <v>41993</v>
      </c>
      <c r="F1866" s="915" t="s">
        <v>837</v>
      </c>
      <c r="G1866" s="936" t="s">
        <v>838</v>
      </c>
      <c r="H1866" s="919" t="s">
        <v>1376</v>
      </c>
      <c r="I1866" s="254">
        <v>213</v>
      </c>
      <c r="J1866" s="254">
        <v>10528.656375318868</v>
      </c>
      <c r="K1866" s="916">
        <f t="shared" ref="K1866:K1907" si="246">ROUND(I1866*J1866,0)</f>
        <v>2242604</v>
      </c>
      <c r="L1866" s="896" t="s">
        <v>169</v>
      </c>
      <c r="M1866" s="935" t="s">
        <v>167</v>
      </c>
      <c r="N1866" s="52" t="str">
        <f>IF(AND('331-CT'!$E$7=TH!H1866,OR(L1866="331",M1866="331")),"331",IF(AND(OR(L1866="131",M1866="131"),H1866='131-CT'!$E$7),"131",""))</f>
        <v/>
      </c>
      <c r="O1866" s="89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54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244"/>
        <v>12</v>
      </c>
      <c r="C1867" s="48">
        <f t="shared" si="245"/>
        <v>41995</v>
      </c>
      <c r="D1867" s="914" t="s">
        <v>1383</v>
      </c>
      <c r="E1867" s="914">
        <v>41995</v>
      </c>
      <c r="F1867" s="915" t="s">
        <v>1211</v>
      </c>
      <c r="G1867" s="936" t="s">
        <v>840</v>
      </c>
      <c r="H1867" s="919" t="s">
        <v>1376</v>
      </c>
      <c r="I1867" s="254">
        <v>819</v>
      </c>
      <c r="J1867" s="254">
        <v>9377.0845842683666</v>
      </c>
      <c r="K1867" s="916">
        <f t="shared" si="246"/>
        <v>7679832</v>
      </c>
      <c r="L1867" s="896" t="s">
        <v>169</v>
      </c>
      <c r="M1867" s="935" t="s">
        <v>167</v>
      </c>
      <c r="N1867" s="52" t="str">
        <f>IF(AND('331-CT'!$E$7=TH!H1867,OR(L1867="331",M1867="331")),"331",IF(AND(OR(L1867="131",M1867="131"),H1867='131-CT'!$E$7),"131",""))</f>
        <v/>
      </c>
      <c r="O1867" s="89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54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244"/>
        <v>12</v>
      </c>
      <c r="C1868" s="48">
        <f t="shared" si="245"/>
        <v>41995</v>
      </c>
      <c r="D1868" s="914" t="s">
        <v>1383</v>
      </c>
      <c r="E1868" s="914">
        <v>41995</v>
      </c>
      <c r="F1868" s="915" t="s">
        <v>446</v>
      </c>
      <c r="G1868" s="936" t="s">
        <v>840</v>
      </c>
      <c r="H1868" s="919" t="s">
        <v>1376</v>
      </c>
      <c r="I1868" s="254">
        <v>1638</v>
      </c>
      <c r="J1868" s="254">
        <v>822.55127932178664</v>
      </c>
      <c r="K1868" s="916">
        <f t="shared" si="246"/>
        <v>1347339</v>
      </c>
      <c r="L1868" s="896" t="s">
        <v>169</v>
      </c>
      <c r="M1868" s="935" t="s">
        <v>167</v>
      </c>
      <c r="N1868" s="52" t="str">
        <f>IF(AND('331-CT'!$E$7=TH!H1868,OR(L1868="331",M1868="331")),"331",IF(AND(OR(L1868="131",M1868="131"),H1868='131-CT'!$E$7),"131",""))</f>
        <v/>
      </c>
      <c r="O1868" s="89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54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244"/>
        <v>12</v>
      </c>
      <c r="C1869" s="48">
        <f t="shared" si="245"/>
        <v>41997</v>
      </c>
      <c r="D1869" s="914" t="s">
        <v>1383</v>
      </c>
      <c r="E1869" s="914">
        <v>41997</v>
      </c>
      <c r="F1869" s="915" t="s">
        <v>742</v>
      </c>
      <c r="G1869" s="936" t="s">
        <v>841</v>
      </c>
      <c r="H1869" s="919" t="s">
        <v>1376</v>
      </c>
      <c r="I1869" s="254">
        <v>517</v>
      </c>
      <c r="J1869" s="254">
        <v>5593.3486993881488</v>
      </c>
      <c r="K1869" s="916">
        <f t="shared" si="246"/>
        <v>2891761</v>
      </c>
      <c r="L1869" s="896" t="s">
        <v>169</v>
      </c>
      <c r="M1869" s="935" t="s">
        <v>167</v>
      </c>
      <c r="N1869" s="52" t="str">
        <f>IF(AND('331-CT'!$E$7=TH!H1869,OR(L1869="331",M1869="331")),"331",IF(AND(OR(L1869="131",M1869="131"),H1869='131-CT'!$E$7),"131",""))</f>
        <v/>
      </c>
      <c r="O1869" s="89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54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244"/>
        <v>12</v>
      </c>
      <c r="C1870" s="48">
        <f t="shared" si="245"/>
        <v>41997</v>
      </c>
      <c r="D1870" s="914" t="s">
        <v>1383</v>
      </c>
      <c r="E1870" s="914">
        <v>41997</v>
      </c>
      <c r="F1870" s="915" t="s">
        <v>842</v>
      </c>
      <c r="G1870" s="936" t="s">
        <v>843</v>
      </c>
      <c r="H1870" s="919" t="s">
        <v>1376</v>
      </c>
      <c r="I1870" s="254">
        <v>701</v>
      </c>
      <c r="J1870" s="254">
        <v>7978.7474094213294</v>
      </c>
      <c r="K1870" s="916">
        <f t="shared" si="246"/>
        <v>5593102</v>
      </c>
      <c r="L1870" s="896" t="s">
        <v>169</v>
      </c>
      <c r="M1870" s="935" t="s">
        <v>167</v>
      </c>
      <c r="N1870" s="52" t="str">
        <f>IF(AND('331-CT'!$E$7=TH!H1870,OR(L1870="331",M1870="331")),"331",IF(AND(OR(L1870="131",M1870="131"),H1870='131-CT'!$E$7),"131",""))</f>
        <v/>
      </c>
      <c r="O1870" s="89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54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244"/>
        <v>12</v>
      </c>
      <c r="C1871" s="48">
        <f t="shared" si="245"/>
        <v>41997</v>
      </c>
      <c r="D1871" s="914" t="s">
        <v>1383</v>
      </c>
      <c r="E1871" s="914">
        <v>41997</v>
      </c>
      <c r="F1871" s="915" t="s">
        <v>844</v>
      </c>
      <c r="G1871" s="936" t="s">
        <v>843</v>
      </c>
      <c r="H1871" s="919" t="s">
        <v>1376</v>
      </c>
      <c r="I1871" s="254">
        <v>59</v>
      </c>
      <c r="J1871" s="254">
        <v>16533.280714367909</v>
      </c>
      <c r="K1871" s="916">
        <f t="shared" si="246"/>
        <v>975464</v>
      </c>
      <c r="L1871" s="896" t="s">
        <v>169</v>
      </c>
      <c r="M1871" s="935" t="s">
        <v>167</v>
      </c>
      <c r="N1871" s="52" t="str">
        <f>IF(AND('331-CT'!$E$7=TH!H1871,OR(L1871="331",M1871="331")),"331",IF(AND(OR(L1871="131",M1871="131"),H1871='131-CT'!$E$7),"131",""))</f>
        <v/>
      </c>
      <c r="O1871" s="89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54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244"/>
        <v>12</v>
      </c>
      <c r="C1872" s="48">
        <f t="shared" si="245"/>
        <v>41997</v>
      </c>
      <c r="D1872" s="914" t="s">
        <v>1383</v>
      </c>
      <c r="E1872" s="914">
        <v>41997</v>
      </c>
      <c r="F1872" s="915" t="s">
        <v>1206</v>
      </c>
      <c r="G1872" s="936" t="s">
        <v>843</v>
      </c>
      <c r="H1872" s="919" t="s">
        <v>1376</v>
      </c>
      <c r="I1872" s="254">
        <v>1402</v>
      </c>
      <c r="J1872" s="254">
        <v>904.80640725396518</v>
      </c>
      <c r="K1872" s="916">
        <f t="shared" si="246"/>
        <v>1268539</v>
      </c>
      <c r="L1872" s="896" t="s">
        <v>169</v>
      </c>
      <c r="M1872" s="935" t="s">
        <v>167</v>
      </c>
      <c r="N1872" s="52" t="str">
        <f>IF(AND('331-CT'!$E$7=TH!H1872,OR(L1872="331",M1872="331")),"331",IF(AND(OR(L1872="131",M1872="131"),H1872='131-CT'!$E$7),"131",""))</f>
        <v/>
      </c>
      <c r="O1872" s="89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54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244"/>
        <v>12</v>
      </c>
      <c r="C1873" s="48">
        <f t="shared" si="245"/>
        <v>41997</v>
      </c>
      <c r="D1873" s="914" t="s">
        <v>1383</v>
      </c>
      <c r="E1873" s="914">
        <v>41997</v>
      </c>
      <c r="F1873" s="915" t="s">
        <v>1207</v>
      </c>
      <c r="G1873" s="936" t="s">
        <v>843</v>
      </c>
      <c r="H1873" s="919" t="s">
        <v>1376</v>
      </c>
      <c r="I1873" s="254">
        <v>118</v>
      </c>
      <c r="J1873" s="254">
        <v>1974.1230703722877</v>
      </c>
      <c r="K1873" s="916">
        <f t="shared" si="246"/>
        <v>232947</v>
      </c>
      <c r="L1873" s="896" t="s">
        <v>169</v>
      </c>
      <c r="M1873" s="935" t="s">
        <v>167</v>
      </c>
      <c r="N1873" s="52" t="str">
        <f>IF(AND('331-CT'!$E$7=TH!H1873,OR(L1873="331",M1873="331")),"331",IF(AND(OR(L1873="131",M1873="131"),H1873='131-CT'!$E$7),"131",""))</f>
        <v/>
      </c>
      <c r="O1873" s="89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54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244"/>
        <v>12</v>
      </c>
      <c r="C1874" s="48">
        <f t="shared" si="245"/>
        <v>41997</v>
      </c>
      <c r="D1874" s="914" t="s">
        <v>1383</v>
      </c>
      <c r="E1874" s="914">
        <v>41997</v>
      </c>
      <c r="F1874" s="915" t="s">
        <v>845</v>
      </c>
      <c r="G1874" s="936" t="s">
        <v>846</v>
      </c>
      <c r="H1874" s="919" t="s">
        <v>1376</v>
      </c>
      <c r="I1874" s="254">
        <v>42</v>
      </c>
      <c r="J1874" s="254">
        <v>5511.0935714559701</v>
      </c>
      <c r="K1874" s="916">
        <f t="shared" si="246"/>
        <v>231466</v>
      </c>
      <c r="L1874" s="896" t="s">
        <v>169</v>
      </c>
      <c r="M1874" s="935" t="s">
        <v>167</v>
      </c>
      <c r="N1874" s="52" t="str">
        <f>IF(AND('331-CT'!$E$7=TH!H1874,OR(L1874="331",M1874="331")),"331",IF(AND(OR(L1874="131",M1874="131"),H1874='131-CT'!$E$7),"131",""))</f>
        <v/>
      </c>
      <c r="O1874" s="89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54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244"/>
        <v>12</v>
      </c>
      <c r="C1875" s="48">
        <f t="shared" si="245"/>
        <v>41997</v>
      </c>
      <c r="D1875" s="914" t="s">
        <v>1383</v>
      </c>
      <c r="E1875" s="914">
        <v>41997</v>
      </c>
      <c r="F1875" s="915" t="s">
        <v>848</v>
      </c>
      <c r="G1875" s="936" t="s">
        <v>846</v>
      </c>
      <c r="H1875" s="919" t="s">
        <v>1376</v>
      </c>
      <c r="I1875" s="254">
        <v>137</v>
      </c>
      <c r="J1875" s="254">
        <v>6991.685874235186</v>
      </c>
      <c r="K1875" s="916">
        <f t="shared" si="246"/>
        <v>957861</v>
      </c>
      <c r="L1875" s="896" t="s">
        <v>169</v>
      </c>
      <c r="M1875" s="935" t="s">
        <v>167</v>
      </c>
      <c r="N1875" s="52" t="str">
        <f>IF(AND('331-CT'!$E$7=TH!H1875,OR(L1875="331",M1875="331")),"331",IF(AND(OR(L1875="131",M1875="131"),H1875='131-CT'!$E$7),"131",""))</f>
        <v/>
      </c>
      <c r="O1875" s="89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54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244"/>
        <v>12</v>
      </c>
      <c r="C1876" s="48">
        <f t="shared" si="245"/>
        <v>41997</v>
      </c>
      <c r="D1876" s="914" t="s">
        <v>1383</v>
      </c>
      <c r="E1876" s="914">
        <v>41997</v>
      </c>
      <c r="F1876" s="915" t="s">
        <v>849</v>
      </c>
      <c r="G1876" s="936" t="s">
        <v>846</v>
      </c>
      <c r="H1876" s="919" t="s">
        <v>1376</v>
      </c>
      <c r="I1876" s="254">
        <v>44</v>
      </c>
      <c r="J1876" s="254">
        <v>7238.4512580317214</v>
      </c>
      <c r="K1876" s="916">
        <f t="shared" si="246"/>
        <v>318492</v>
      </c>
      <c r="L1876" s="896" t="s">
        <v>169</v>
      </c>
      <c r="M1876" s="935" t="s">
        <v>167</v>
      </c>
      <c r="N1876" s="52" t="str">
        <f>IF(AND('331-CT'!$E$7=TH!H1876,OR(L1876="331",M1876="331")),"331",IF(AND(OR(L1876="131",M1876="131"),H1876='131-CT'!$E$7),"131",""))</f>
        <v/>
      </c>
      <c r="O1876" s="89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54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244"/>
        <v>12</v>
      </c>
      <c r="C1877" s="48">
        <f t="shared" si="245"/>
        <v>41997</v>
      </c>
      <c r="D1877" s="914" t="s">
        <v>1383</v>
      </c>
      <c r="E1877" s="914">
        <v>41997</v>
      </c>
      <c r="F1877" s="915" t="s">
        <v>850</v>
      </c>
      <c r="G1877" s="936" t="s">
        <v>846</v>
      </c>
      <c r="H1877" s="919" t="s">
        <v>1376</v>
      </c>
      <c r="I1877" s="254">
        <v>966</v>
      </c>
      <c r="J1877" s="254">
        <v>7485.2166418282577</v>
      </c>
      <c r="K1877" s="916">
        <f t="shared" si="246"/>
        <v>7230719</v>
      </c>
      <c r="L1877" s="896" t="s">
        <v>169</v>
      </c>
      <c r="M1877" s="935" t="s">
        <v>167</v>
      </c>
      <c r="N1877" s="52" t="str">
        <f>IF(AND('331-CT'!$E$7=TH!H1877,OR(L1877="331",M1877="331")),"331",IF(AND(OR(L1877="131",M1877="131"),H1877='131-CT'!$E$7),"131",""))</f>
        <v/>
      </c>
      <c r="O1877" s="89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54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244"/>
        <v>12</v>
      </c>
      <c r="C1878" s="48">
        <f t="shared" si="245"/>
        <v>41997</v>
      </c>
      <c r="D1878" s="914" t="s">
        <v>1383</v>
      </c>
      <c r="E1878" s="914">
        <v>41997</v>
      </c>
      <c r="F1878" s="915" t="s">
        <v>851</v>
      </c>
      <c r="G1878" s="936" t="s">
        <v>846</v>
      </c>
      <c r="H1878" s="919" t="s">
        <v>1376</v>
      </c>
      <c r="I1878" s="254">
        <v>105</v>
      </c>
      <c r="J1878" s="254">
        <v>9377.0845842683666</v>
      </c>
      <c r="K1878" s="916">
        <f t="shared" si="246"/>
        <v>984594</v>
      </c>
      <c r="L1878" s="896" t="s">
        <v>169</v>
      </c>
      <c r="M1878" s="935" t="s">
        <v>167</v>
      </c>
      <c r="N1878" s="52" t="str">
        <f>IF(AND('331-CT'!$E$7=TH!H1878,OR(L1878="331",M1878="331")),"331",IF(AND(OR(L1878="131",M1878="131"),H1878='131-CT'!$E$7),"131",""))</f>
        <v/>
      </c>
      <c r="O1878" s="89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54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244"/>
        <v>12</v>
      </c>
      <c r="C1879" s="48">
        <f t="shared" si="245"/>
        <v>41997</v>
      </c>
      <c r="D1879" s="914" t="s">
        <v>1383</v>
      </c>
      <c r="E1879" s="914">
        <v>41997</v>
      </c>
      <c r="F1879" s="915" t="s">
        <v>852</v>
      </c>
      <c r="G1879" s="936" t="s">
        <v>846</v>
      </c>
      <c r="H1879" s="919" t="s">
        <v>1376</v>
      </c>
      <c r="I1879" s="254">
        <v>25</v>
      </c>
      <c r="J1879" s="254">
        <v>9541.5948401327241</v>
      </c>
      <c r="K1879" s="916">
        <f t="shared" si="246"/>
        <v>238540</v>
      </c>
      <c r="L1879" s="896" t="s">
        <v>169</v>
      </c>
      <c r="M1879" s="935" t="s">
        <v>167</v>
      </c>
      <c r="N1879" s="52" t="str">
        <f>IF(AND('331-CT'!$E$7=TH!H1879,OR(L1879="331",M1879="331")),"331",IF(AND(OR(L1879="131",M1879="131"),H1879='131-CT'!$E$7),"131",""))</f>
        <v/>
      </c>
      <c r="O1879" s="89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54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244"/>
        <v>12</v>
      </c>
      <c r="C1880" s="48">
        <f t="shared" si="245"/>
        <v>41997</v>
      </c>
      <c r="D1880" s="914" t="s">
        <v>1383</v>
      </c>
      <c r="E1880" s="914">
        <v>41997</v>
      </c>
      <c r="F1880" s="915" t="s">
        <v>853</v>
      </c>
      <c r="G1880" s="936" t="s">
        <v>846</v>
      </c>
      <c r="H1880" s="919" t="s">
        <v>1376</v>
      </c>
      <c r="I1880" s="254">
        <v>104</v>
      </c>
      <c r="J1880" s="254">
        <v>10528.656375318868</v>
      </c>
      <c r="K1880" s="916">
        <f t="shared" si="246"/>
        <v>1094980</v>
      </c>
      <c r="L1880" s="896" t="s">
        <v>169</v>
      </c>
      <c r="M1880" s="935" t="s">
        <v>167</v>
      </c>
      <c r="N1880" s="52" t="str">
        <f>IF(AND('331-CT'!$E$7=TH!H1880,OR(L1880="331",M1880="331")),"331",IF(AND(OR(L1880="131",M1880="131"),H1880='131-CT'!$E$7),"131",""))</f>
        <v/>
      </c>
      <c r="O1880" s="89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54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244"/>
        <v>12</v>
      </c>
      <c r="C1881" s="48">
        <f t="shared" si="245"/>
        <v>41997</v>
      </c>
      <c r="D1881" s="914" t="s">
        <v>1383</v>
      </c>
      <c r="E1881" s="914">
        <v>41997</v>
      </c>
      <c r="F1881" s="915" t="s">
        <v>854</v>
      </c>
      <c r="G1881" s="936" t="s">
        <v>846</v>
      </c>
      <c r="H1881" s="919" t="s">
        <v>1376</v>
      </c>
      <c r="I1881" s="254">
        <v>108</v>
      </c>
      <c r="J1881" s="254">
        <v>10857.676887047583</v>
      </c>
      <c r="K1881" s="916">
        <f t="shared" si="246"/>
        <v>1172629</v>
      </c>
      <c r="L1881" s="896" t="s">
        <v>169</v>
      </c>
      <c r="M1881" s="935" t="s">
        <v>167</v>
      </c>
      <c r="N1881" s="52" t="str">
        <f>IF(AND('331-CT'!$E$7=TH!H1881,OR(L1881="331",M1881="331")),"331",IF(AND(OR(L1881="131",M1881="131"),H1881='131-CT'!$E$7),"131",""))</f>
        <v/>
      </c>
      <c r="O1881" s="89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54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244"/>
        <v>12</v>
      </c>
      <c r="C1882" s="48">
        <f t="shared" si="245"/>
        <v>41997</v>
      </c>
      <c r="D1882" s="914" t="s">
        <v>1383</v>
      </c>
      <c r="E1882" s="914">
        <v>41997</v>
      </c>
      <c r="F1882" s="915" t="s">
        <v>855</v>
      </c>
      <c r="G1882" s="936" t="s">
        <v>846</v>
      </c>
      <c r="H1882" s="919" t="s">
        <v>1376</v>
      </c>
      <c r="I1882" s="254">
        <v>32</v>
      </c>
      <c r="J1882" s="254">
        <v>12502.779445691156</v>
      </c>
      <c r="K1882" s="916">
        <f t="shared" si="246"/>
        <v>400089</v>
      </c>
      <c r="L1882" s="896" t="s">
        <v>169</v>
      </c>
      <c r="M1882" s="935" t="s">
        <v>167</v>
      </c>
      <c r="N1882" s="52" t="str">
        <f>IF(AND('331-CT'!$E$7=TH!H1882,OR(L1882="331",M1882="331")),"331",IF(AND(OR(L1882="131",M1882="131"),H1882='131-CT'!$E$7),"131",""))</f>
        <v/>
      </c>
      <c r="O1882" s="89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54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244"/>
        <v>12</v>
      </c>
      <c r="C1883" s="48">
        <f t="shared" si="245"/>
        <v>41997</v>
      </c>
      <c r="D1883" s="914" t="s">
        <v>1383</v>
      </c>
      <c r="E1883" s="914">
        <v>41997</v>
      </c>
      <c r="F1883" s="915" t="s">
        <v>856</v>
      </c>
      <c r="G1883" s="936" t="s">
        <v>846</v>
      </c>
      <c r="H1883" s="919" t="s">
        <v>1376</v>
      </c>
      <c r="I1883" s="254">
        <v>63</v>
      </c>
      <c r="J1883" s="254">
        <v>13572.096108809477</v>
      </c>
      <c r="K1883" s="916">
        <f t="shared" si="246"/>
        <v>855042</v>
      </c>
      <c r="L1883" s="896" t="s">
        <v>169</v>
      </c>
      <c r="M1883" s="935" t="s">
        <v>167</v>
      </c>
      <c r="N1883" s="52" t="str">
        <f>IF(AND('331-CT'!$E$7=TH!H1883,OR(L1883="331",M1883="331")),"331",IF(AND(OR(L1883="131",M1883="131"),H1883='131-CT'!$E$7),"131",""))</f>
        <v/>
      </c>
      <c r="O1883" s="89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54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244"/>
        <v>12</v>
      </c>
      <c r="C1884" s="48">
        <f t="shared" si="245"/>
        <v>41998</v>
      </c>
      <c r="D1884" s="914" t="s">
        <v>1383</v>
      </c>
      <c r="E1884" s="914">
        <v>41998</v>
      </c>
      <c r="F1884" s="915" t="s">
        <v>437</v>
      </c>
      <c r="G1884" s="936" t="s">
        <v>857</v>
      </c>
      <c r="H1884" s="919" t="s">
        <v>1376</v>
      </c>
      <c r="I1884" s="254">
        <v>500</v>
      </c>
      <c r="J1884" s="254">
        <v>7814.2371535569719</v>
      </c>
      <c r="K1884" s="916">
        <f t="shared" si="246"/>
        <v>3907119</v>
      </c>
      <c r="L1884" s="896" t="s">
        <v>169</v>
      </c>
      <c r="M1884" s="935" t="s">
        <v>167</v>
      </c>
      <c r="N1884" s="52" t="str">
        <f>IF(AND('331-CT'!$E$7=TH!H1884,OR(L1884="331",M1884="331")),"331",IF(AND(OR(L1884="131",M1884="131"),H1884='131-CT'!$E$7),"131",""))</f>
        <v/>
      </c>
      <c r="O1884" s="89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54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244"/>
        <v>12</v>
      </c>
      <c r="C1885" s="48">
        <f t="shared" si="245"/>
        <v>41998</v>
      </c>
      <c r="D1885" s="914" t="s">
        <v>1383</v>
      </c>
      <c r="E1885" s="914">
        <v>41998</v>
      </c>
      <c r="F1885" s="915" t="s">
        <v>460</v>
      </c>
      <c r="G1885" s="936" t="s">
        <v>858</v>
      </c>
      <c r="H1885" s="919" t="s">
        <v>1376</v>
      </c>
      <c r="I1885" s="254">
        <v>1000</v>
      </c>
      <c r="J1885" s="254">
        <v>7567.4717697604365</v>
      </c>
      <c r="K1885" s="916">
        <f t="shared" si="246"/>
        <v>7567472</v>
      </c>
      <c r="L1885" s="896" t="s">
        <v>169</v>
      </c>
      <c r="M1885" s="935" t="s">
        <v>167</v>
      </c>
      <c r="N1885" s="52" t="str">
        <f>IF(AND('331-CT'!$E$7=TH!H1885,OR(L1885="331",M1885="331")),"331",IF(AND(OR(L1885="131",M1885="131"),H1885='131-CT'!$E$7),"131",""))</f>
        <v/>
      </c>
      <c r="O1885" s="89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54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244"/>
        <v>12</v>
      </c>
      <c r="C1886" s="48">
        <f t="shared" si="245"/>
        <v>41998</v>
      </c>
      <c r="D1886" s="914" t="s">
        <v>1383</v>
      </c>
      <c r="E1886" s="914">
        <v>41998</v>
      </c>
      <c r="F1886" s="915" t="s">
        <v>859</v>
      </c>
      <c r="G1886" s="936" t="s">
        <v>860</v>
      </c>
      <c r="H1886" s="919" t="s">
        <v>1376</v>
      </c>
      <c r="I1886" s="254">
        <v>45</v>
      </c>
      <c r="J1886" s="254">
        <v>20234.761471315949</v>
      </c>
      <c r="K1886" s="916">
        <f t="shared" si="246"/>
        <v>910564</v>
      </c>
      <c r="L1886" s="896" t="s">
        <v>169</v>
      </c>
      <c r="M1886" s="935" t="s">
        <v>167</v>
      </c>
      <c r="N1886" s="52" t="str">
        <f>IF(AND('331-CT'!$E$7=TH!H1886,OR(L1886="331",M1886="331")),"331",IF(AND(OR(L1886="131",M1886="131"),H1886='131-CT'!$E$7),"131",""))</f>
        <v/>
      </c>
      <c r="O1886" s="89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54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244"/>
        <v>12</v>
      </c>
      <c r="C1887" s="48">
        <f t="shared" si="245"/>
        <v>41998</v>
      </c>
      <c r="D1887" s="914" t="s">
        <v>1383</v>
      </c>
      <c r="E1887" s="914">
        <v>41998</v>
      </c>
      <c r="F1887" s="915" t="s">
        <v>747</v>
      </c>
      <c r="G1887" s="936" t="s">
        <v>860</v>
      </c>
      <c r="H1887" s="919" t="s">
        <v>1376</v>
      </c>
      <c r="I1887" s="254">
        <v>90</v>
      </c>
      <c r="J1887" s="254">
        <v>1233.8269189826799</v>
      </c>
      <c r="K1887" s="916">
        <f t="shared" si="246"/>
        <v>111044</v>
      </c>
      <c r="L1887" s="896" t="s">
        <v>169</v>
      </c>
      <c r="M1887" s="935" t="s">
        <v>167</v>
      </c>
      <c r="N1887" s="52" t="str">
        <f>IF(AND('331-CT'!$E$7=TH!H1887,OR(L1887="331",M1887="331")),"331",IF(AND(OR(L1887="131",M1887="131"),H1887='131-CT'!$E$7),"131",""))</f>
        <v/>
      </c>
      <c r="O1887" s="89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54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244"/>
        <v>12</v>
      </c>
      <c r="C1888" s="48">
        <f t="shared" si="245"/>
        <v>41999</v>
      </c>
      <c r="D1888" s="914" t="s">
        <v>1383</v>
      </c>
      <c r="E1888" s="914">
        <v>41999</v>
      </c>
      <c r="F1888" s="915" t="s">
        <v>861</v>
      </c>
      <c r="G1888" s="936" t="s">
        <v>862</v>
      </c>
      <c r="H1888" s="919" t="s">
        <v>1376</v>
      </c>
      <c r="I1888" s="254">
        <v>305</v>
      </c>
      <c r="J1888" s="254">
        <v>15792.984562978301</v>
      </c>
      <c r="K1888" s="916">
        <f t="shared" si="246"/>
        <v>4816860</v>
      </c>
      <c r="L1888" s="896" t="s">
        <v>169</v>
      </c>
      <c r="M1888" s="935" t="s">
        <v>167</v>
      </c>
      <c r="N1888" s="52" t="str">
        <f>IF(AND('331-CT'!$E$7=TH!H1888,OR(L1888="331",M1888="331")),"331",IF(AND(OR(L1888="131",M1888="131"),H1888='131-CT'!$E$7),"131",""))</f>
        <v/>
      </c>
      <c r="O1888" s="89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54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244"/>
        <v>12</v>
      </c>
      <c r="C1889" s="48">
        <f t="shared" si="245"/>
        <v>41999</v>
      </c>
      <c r="D1889" s="914" t="s">
        <v>1383</v>
      </c>
      <c r="E1889" s="914">
        <v>41999</v>
      </c>
      <c r="F1889" s="915" t="s">
        <v>864</v>
      </c>
      <c r="G1889" s="936" t="s">
        <v>862</v>
      </c>
      <c r="H1889" s="919" t="s">
        <v>1376</v>
      </c>
      <c r="I1889" s="254">
        <v>615</v>
      </c>
      <c r="J1889" s="254">
        <v>7485.2166418282577</v>
      </c>
      <c r="K1889" s="916">
        <f t="shared" si="246"/>
        <v>4603408</v>
      </c>
      <c r="L1889" s="896" t="s">
        <v>169</v>
      </c>
      <c r="M1889" s="935" t="s">
        <v>167</v>
      </c>
      <c r="N1889" s="52" t="str">
        <f>IF(AND('331-CT'!$E$7=TH!H1889,OR(L1889="331",M1889="331")),"331",IF(AND(OR(L1889="131",M1889="131"),H1889='131-CT'!$E$7),"131",""))</f>
        <v/>
      </c>
      <c r="O1889" s="89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54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244"/>
        <v>12</v>
      </c>
      <c r="C1890" s="48">
        <f t="shared" si="245"/>
        <v>41999</v>
      </c>
      <c r="D1890" s="914" t="s">
        <v>1383</v>
      </c>
      <c r="E1890" s="914">
        <v>41999</v>
      </c>
      <c r="F1890" s="915" t="s">
        <v>865</v>
      </c>
      <c r="G1890" s="936" t="s">
        <v>862</v>
      </c>
      <c r="H1890" s="919" t="s">
        <v>1376</v>
      </c>
      <c r="I1890" s="254">
        <v>953</v>
      </c>
      <c r="J1890" s="254">
        <v>6744.9204904386497</v>
      </c>
      <c r="K1890" s="916">
        <f t="shared" si="246"/>
        <v>6427909</v>
      </c>
      <c r="L1890" s="896" t="s">
        <v>169</v>
      </c>
      <c r="M1890" s="935" t="s">
        <v>167</v>
      </c>
      <c r="N1890" s="52" t="str">
        <f>IF(AND('331-CT'!$E$7=TH!H1890,OR(L1890="331",M1890="331")),"331",IF(AND(OR(L1890="131",M1890="131"),H1890='131-CT'!$E$7),"131",""))</f>
        <v/>
      </c>
      <c r="O1890" s="89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54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244"/>
        <v>12</v>
      </c>
      <c r="C1891" s="48">
        <f t="shared" si="245"/>
        <v>41999</v>
      </c>
      <c r="D1891" s="914" t="s">
        <v>1383</v>
      </c>
      <c r="E1891" s="914">
        <v>41999</v>
      </c>
      <c r="F1891" s="915" t="s">
        <v>866</v>
      </c>
      <c r="G1891" s="936" t="s">
        <v>862</v>
      </c>
      <c r="H1891" s="919" t="s">
        <v>1376</v>
      </c>
      <c r="I1891" s="254">
        <v>300</v>
      </c>
      <c r="J1891" s="254">
        <v>6909.4307463030073</v>
      </c>
      <c r="K1891" s="916">
        <f t="shared" si="246"/>
        <v>2072829</v>
      </c>
      <c r="L1891" s="896" t="s">
        <v>169</v>
      </c>
      <c r="M1891" s="935" t="s">
        <v>167</v>
      </c>
      <c r="N1891" s="52" t="str">
        <f>IF(AND('331-CT'!$E$7=TH!H1891,OR(L1891="331",M1891="331")),"331",IF(AND(OR(L1891="131",M1891="131"),H1891='131-CT'!$E$7),"131",""))</f>
        <v/>
      </c>
      <c r="O1891" s="89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54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244"/>
        <v>12</v>
      </c>
      <c r="C1892" s="48">
        <f t="shared" si="245"/>
        <v>41999</v>
      </c>
      <c r="D1892" s="914" t="s">
        <v>1383</v>
      </c>
      <c r="E1892" s="914">
        <v>41999</v>
      </c>
      <c r="F1892" s="915" t="s">
        <v>867</v>
      </c>
      <c r="G1892" s="936" t="s">
        <v>868</v>
      </c>
      <c r="H1892" s="919" t="s">
        <v>1376</v>
      </c>
      <c r="I1892" s="254">
        <v>416</v>
      </c>
      <c r="J1892" s="254">
        <v>5428.8384435237913</v>
      </c>
      <c r="K1892" s="916">
        <f t="shared" si="246"/>
        <v>2258397</v>
      </c>
      <c r="L1892" s="896" t="s">
        <v>169</v>
      </c>
      <c r="M1892" s="935" t="s">
        <v>167</v>
      </c>
      <c r="N1892" s="52" t="str">
        <f>IF(AND('331-CT'!$E$7=TH!H1892,OR(L1892="331",M1892="331")),"331",IF(AND(OR(L1892="131",M1892="131"),H1892='131-CT'!$E$7),"131",""))</f>
        <v/>
      </c>
      <c r="O1892" s="89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54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244"/>
        <v>12</v>
      </c>
      <c r="C1893" s="48">
        <f t="shared" si="245"/>
        <v>41999</v>
      </c>
      <c r="D1893" s="914" t="s">
        <v>1383</v>
      </c>
      <c r="E1893" s="914">
        <v>41999</v>
      </c>
      <c r="F1893" s="915" t="s">
        <v>867</v>
      </c>
      <c r="G1893" s="936" t="s">
        <v>868</v>
      </c>
      <c r="H1893" s="919" t="s">
        <v>1376</v>
      </c>
      <c r="I1893" s="254">
        <v>602</v>
      </c>
      <c r="J1893" s="254">
        <v>5428.8384435237913</v>
      </c>
      <c r="K1893" s="916">
        <f t="shared" si="246"/>
        <v>3268161</v>
      </c>
      <c r="L1893" s="896" t="s">
        <v>169</v>
      </c>
      <c r="M1893" s="935" t="s">
        <v>167</v>
      </c>
      <c r="N1893" s="52" t="str">
        <f>IF(AND('331-CT'!$E$7=TH!H1893,OR(L1893="331",M1893="331")),"331",IF(AND(OR(L1893="131",M1893="131"),H1893='131-CT'!$E$7),"131",""))</f>
        <v/>
      </c>
      <c r="O1893" s="89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54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244"/>
        <v>12</v>
      </c>
      <c r="C1894" s="48">
        <f t="shared" si="245"/>
        <v>41999</v>
      </c>
      <c r="D1894" s="914" t="s">
        <v>1383</v>
      </c>
      <c r="E1894" s="914">
        <v>41999</v>
      </c>
      <c r="F1894" s="915" t="s">
        <v>869</v>
      </c>
      <c r="G1894" s="936" t="s">
        <v>868</v>
      </c>
      <c r="H1894" s="919" t="s">
        <v>1376</v>
      </c>
      <c r="I1894" s="254">
        <v>413</v>
      </c>
      <c r="J1894" s="254">
        <v>4770.7974200663621</v>
      </c>
      <c r="K1894" s="916">
        <f t="shared" si="246"/>
        <v>1970339</v>
      </c>
      <c r="L1894" s="896" t="s">
        <v>169</v>
      </c>
      <c r="M1894" s="935" t="s">
        <v>167</v>
      </c>
      <c r="N1894" s="52" t="str">
        <f>IF(AND('331-CT'!$E$7=TH!H1894,OR(L1894="331",M1894="331")),"331",IF(AND(OR(L1894="131",M1894="131"),H1894='131-CT'!$E$7),"131",""))</f>
        <v/>
      </c>
      <c r="O1894" s="89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54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244"/>
        <v>12</v>
      </c>
      <c r="C1895" s="48">
        <f t="shared" si="245"/>
        <v>42000</v>
      </c>
      <c r="D1895" s="914" t="s">
        <v>1383</v>
      </c>
      <c r="E1895" s="914">
        <v>42000</v>
      </c>
      <c r="F1895" s="915" t="s">
        <v>671</v>
      </c>
      <c r="G1895" s="936" t="s">
        <v>870</v>
      </c>
      <c r="H1895" s="919" t="s">
        <v>1376</v>
      </c>
      <c r="I1895" s="254">
        <v>1528</v>
      </c>
      <c r="J1895" s="254">
        <v>7402.9615138960789</v>
      </c>
      <c r="K1895" s="916">
        <f t="shared" si="246"/>
        <v>11311725</v>
      </c>
      <c r="L1895" s="896" t="s">
        <v>169</v>
      </c>
      <c r="M1895" s="935" t="s">
        <v>167</v>
      </c>
      <c r="N1895" s="52" t="str">
        <f>IF(AND('331-CT'!$E$7=TH!H1895,OR(L1895="331",M1895="331")),"331",IF(AND(OR(L1895="131",M1895="131"),H1895='131-CT'!$E$7),"131",""))</f>
        <v/>
      </c>
      <c r="O1895" s="89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54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244"/>
        <v>12</v>
      </c>
      <c r="C1896" s="48">
        <f t="shared" si="245"/>
        <v>42000</v>
      </c>
      <c r="D1896" s="914" t="s">
        <v>1383</v>
      </c>
      <c r="E1896" s="914">
        <v>42000</v>
      </c>
      <c r="F1896" s="915" t="s">
        <v>516</v>
      </c>
      <c r="G1896" s="936" t="s">
        <v>871</v>
      </c>
      <c r="H1896" s="919" t="s">
        <v>1376</v>
      </c>
      <c r="I1896" s="254">
        <v>1010</v>
      </c>
      <c r="J1896" s="254">
        <v>9459.3397122005445</v>
      </c>
      <c r="K1896" s="916">
        <f t="shared" si="246"/>
        <v>9553933</v>
      </c>
      <c r="L1896" s="896" t="s">
        <v>169</v>
      </c>
      <c r="M1896" s="935" t="s">
        <v>167</v>
      </c>
      <c r="N1896" s="52" t="str">
        <f>IF(AND('331-CT'!$E$7=TH!H1896,OR(L1896="331",M1896="331")),"331",IF(AND(OR(L1896="131",M1896="131"),H1896='131-CT'!$E$7),"131",""))</f>
        <v/>
      </c>
      <c r="O1896" s="89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54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244"/>
        <v>12</v>
      </c>
      <c r="C1897" s="48">
        <f t="shared" si="245"/>
        <v>42003</v>
      </c>
      <c r="D1897" s="914" t="s">
        <v>1383</v>
      </c>
      <c r="E1897" s="914">
        <v>42003</v>
      </c>
      <c r="F1897" s="915" t="s">
        <v>872</v>
      </c>
      <c r="G1897" s="936" t="s">
        <v>873</v>
      </c>
      <c r="H1897" s="919" t="s">
        <v>1376</v>
      </c>
      <c r="I1897" s="254">
        <v>310</v>
      </c>
      <c r="J1897" s="254">
        <v>7731.9820256247931</v>
      </c>
      <c r="K1897" s="916">
        <f t="shared" si="246"/>
        <v>2396914</v>
      </c>
      <c r="L1897" s="896" t="s">
        <v>169</v>
      </c>
      <c r="M1897" s="935" t="s">
        <v>167</v>
      </c>
      <c r="N1897" s="52" t="str">
        <f>IF(AND('331-CT'!$E$7=TH!H1897,OR(L1897="331",M1897="331")),"331",IF(AND(OR(L1897="131",M1897="131"),H1897='131-CT'!$E$7),"131",""))</f>
        <v/>
      </c>
      <c r="O1897" s="89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54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244"/>
        <v>12</v>
      </c>
      <c r="C1898" s="48">
        <f t="shared" si="245"/>
        <v>42003</v>
      </c>
      <c r="D1898" s="914" t="s">
        <v>1383</v>
      </c>
      <c r="E1898" s="914">
        <v>42003</v>
      </c>
      <c r="F1898" s="915" t="s">
        <v>874</v>
      </c>
      <c r="G1898" s="936" t="s">
        <v>873</v>
      </c>
      <c r="H1898" s="919" t="s">
        <v>1376</v>
      </c>
      <c r="I1898" s="254">
        <v>219</v>
      </c>
      <c r="J1898" s="254">
        <v>7978.7474094213294</v>
      </c>
      <c r="K1898" s="916">
        <f t="shared" si="246"/>
        <v>1747346</v>
      </c>
      <c r="L1898" s="896" t="s">
        <v>169</v>
      </c>
      <c r="M1898" s="935" t="s">
        <v>167</v>
      </c>
      <c r="N1898" s="52" t="str">
        <f>IF(AND('331-CT'!$E$7=TH!H1898,OR(L1898="331",M1898="331")),"331",IF(AND(OR(L1898="131",M1898="131"),H1898='131-CT'!$E$7),"131",""))</f>
        <v/>
      </c>
      <c r="O1898" s="89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54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244"/>
        <v>12</v>
      </c>
      <c r="C1899" s="48">
        <f t="shared" si="245"/>
        <v>42003</v>
      </c>
      <c r="D1899" s="914" t="s">
        <v>1383</v>
      </c>
      <c r="E1899" s="914">
        <v>42003</v>
      </c>
      <c r="F1899" s="915" t="s">
        <v>875</v>
      </c>
      <c r="G1899" s="936" t="s">
        <v>876</v>
      </c>
      <c r="H1899" s="919" t="s">
        <v>1376</v>
      </c>
      <c r="I1899" s="254">
        <v>30</v>
      </c>
      <c r="J1899" s="254">
        <v>21633.098646162987</v>
      </c>
      <c r="K1899" s="916">
        <f t="shared" si="246"/>
        <v>648993</v>
      </c>
      <c r="L1899" s="896" t="s">
        <v>169</v>
      </c>
      <c r="M1899" s="935" t="s">
        <v>167</v>
      </c>
      <c r="N1899" s="52" t="str">
        <f>IF(AND('331-CT'!$E$7=TH!H1899,OR(L1899="331",M1899="331")),"331",IF(AND(OR(L1899="131",M1899="131"),H1899='131-CT'!$E$7),"131",""))</f>
        <v/>
      </c>
      <c r="O1899" s="89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54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244"/>
        <v>12</v>
      </c>
      <c r="C1900" s="48">
        <f t="shared" si="245"/>
        <v>42003</v>
      </c>
      <c r="D1900" s="914" t="s">
        <v>1383</v>
      </c>
      <c r="E1900" s="914">
        <v>42003</v>
      </c>
      <c r="F1900" s="915" t="s">
        <v>747</v>
      </c>
      <c r="G1900" s="936" t="s">
        <v>876</v>
      </c>
      <c r="H1900" s="919" t="s">
        <v>1376</v>
      </c>
      <c r="I1900" s="254">
        <v>60</v>
      </c>
      <c r="J1900" s="254">
        <v>1233.8269189826799</v>
      </c>
      <c r="K1900" s="916">
        <f t="shared" si="246"/>
        <v>74030</v>
      </c>
      <c r="L1900" s="896" t="s">
        <v>169</v>
      </c>
      <c r="M1900" s="935" t="s">
        <v>167</v>
      </c>
      <c r="N1900" s="52" t="str">
        <f>IF(AND('331-CT'!$E$7=TH!H1900,OR(L1900="331",M1900="331")),"331",IF(AND(OR(L1900="131",M1900="131"),H1900='131-CT'!$E$7),"131",""))</f>
        <v/>
      </c>
      <c r="O1900" s="89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54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244"/>
        <v>12</v>
      </c>
      <c r="C1901" s="48">
        <f t="shared" si="245"/>
        <v>42003</v>
      </c>
      <c r="D1901" s="914" t="s">
        <v>1383</v>
      </c>
      <c r="E1901" s="914">
        <v>42003</v>
      </c>
      <c r="F1901" s="915" t="s">
        <v>555</v>
      </c>
      <c r="G1901" s="936" t="s">
        <v>877</v>
      </c>
      <c r="H1901" s="919" t="s">
        <v>1376</v>
      </c>
      <c r="I1901" s="254">
        <v>650</v>
      </c>
      <c r="J1901" s="254">
        <v>20646.037110976842</v>
      </c>
      <c r="K1901" s="916">
        <f t="shared" si="246"/>
        <v>13419924</v>
      </c>
      <c r="L1901" s="896" t="s">
        <v>169</v>
      </c>
      <c r="M1901" s="935" t="s">
        <v>167</v>
      </c>
      <c r="N1901" s="52" t="str">
        <f>IF(AND('331-CT'!$E$7=TH!H1901,OR(L1901="331",M1901="331")),"331",IF(AND(OR(L1901="131",M1901="131"),H1901='131-CT'!$E$7),"131",""))</f>
        <v/>
      </c>
      <c r="O1901" s="89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54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244"/>
        <v>12</v>
      </c>
      <c r="C1902" s="48">
        <f t="shared" si="245"/>
        <v>42004</v>
      </c>
      <c r="D1902" s="914" t="s">
        <v>1383</v>
      </c>
      <c r="E1902" s="914">
        <v>42004</v>
      </c>
      <c r="F1902" s="915" t="s">
        <v>513</v>
      </c>
      <c r="G1902" s="936" t="s">
        <v>879</v>
      </c>
      <c r="H1902" s="919" t="s">
        <v>1376</v>
      </c>
      <c r="I1902" s="254">
        <v>307</v>
      </c>
      <c r="J1902" s="254">
        <v>5757.8589552525054</v>
      </c>
      <c r="K1902" s="916">
        <f t="shared" si="246"/>
        <v>1767663</v>
      </c>
      <c r="L1902" s="896" t="s">
        <v>169</v>
      </c>
      <c r="M1902" s="935" t="s">
        <v>167</v>
      </c>
      <c r="N1902" s="52" t="str">
        <f>IF(AND('331-CT'!$E$7=TH!H1902,OR(L1902="331",M1902="331")),"331",IF(AND(OR(L1902="131",M1902="131"),H1902='131-CT'!$E$7),"131",""))</f>
        <v/>
      </c>
      <c r="O1902" s="89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54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244"/>
        <v>12</v>
      </c>
      <c r="C1903" s="48">
        <f t="shared" si="245"/>
        <v>42004</v>
      </c>
      <c r="D1903" s="914" t="s">
        <v>1383</v>
      </c>
      <c r="E1903" s="914">
        <v>42004</v>
      </c>
      <c r="F1903" s="915" t="s">
        <v>487</v>
      </c>
      <c r="G1903" s="936" t="s">
        <v>879</v>
      </c>
      <c r="H1903" s="919" t="s">
        <v>1376</v>
      </c>
      <c r="I1903" s="254">
        <v>200</v>
      </c>
      <c r="J1903" s="254">
        <v>7320.7063859639002</v>
      </c>
      <c r="K1903" s="916">
        <f t="shared" si="246"/>
        <v>1464141</v>
      </c>
      <c r="L1903" s="896" t="s">
        <v>169</v>
      </c>
      <c r="M1903" s="935" t="s">
        <v>167</v>
      </c>
      <c r="N1903" s="52" t="str">
        <f>IF(AND('331-CT'!$E$7=TH!H1903,OR(L1903="331",M1903="331")),"331",IF(AND(OR(L1903="131",M1903="131"),H1903='131-CT'!$E$7),"131",""))</f>
        <v/>
      </c>
      <c r="O1903" s="89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54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244"/>
        <v>12</v>
      </c>
      <c r="C1904" s="48">
        <f t="shared" si="245"/>
        <v>42004</v>
      </c>
      <c r="D1904" s="914" t="s">
        <v>1383</v>
      </c>
      <c r="E1904" s="914">
        <v>42004</v>
      </c>
      <c r="F1904" s="915" t="s">
        <v>776</v>
      </c>
      <c r="G1904" s="936" t="s">
        <v>880</v>
      </c>
      <c r="H1904" s="919" t="s">
        <v>1376</v>
      </c>
      <c r="I1904" s="254">
        <v>2500</v>
      </c>
      <c r="J1904" s="254">
        <v>7402.9615138960789</v>
      </c>
      <c r="K1904" s="916">
        <f t="shared" si="246"/>
        <v>18507404</v>
      </c>
      <c r="L1904" s="896" t="s">
        <v>169</v>
      </c>
      <c r="M1904" s="935" t="s">
        <v>167</v>
      </c>
      <c r="N1904" s="52" t="str">
        <f>IF(AND('331-CT'!$E$7=TH!H1904,OR(L1904="331",M1904="331")),"331",IF(AND(OR(L1904="131",M1904="131"),H1904='131-CT'!$E$7),"131",""))</f>
        <v/>
      </c>
      <c r="O1904" s="89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54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244"/>
        <v>12</v>
      </c>
      <c r="C1905" s="48">
        <f t="shared" si="245"/>
        <v>42004</v>
      </c>
      <c r="D1905" s="914" t="s">
        <v>1383</v>
      </c>
      <c r="E1905" s="914">
        <v>42004</v>
      </c>
      <c r="F1905" s="915" t="s">
        <v>881</v>
      </c>
      <c r="G1905" s="936" t="s">
        <v>882</v>
      </c>
      <c r="H1905" s="919" t="s">
        <v>1376</v>
      </c>
      <c r="I1905" s="254">
        <v>2050</v>
      </c>
      <c r="J1905" s="254">
        <v>3454.7153731515036</v>
      </c>
      <c r="K1905" s="916">
        <f t="shared" si="246"/>
        <v>7082167</v>
      </c>
      <c r="L1905" s="896" t="s">
        <v>169</v>
      </c>
      <c r="M1905" s="935" t="s">
        <v>167</v>
      </c>
      <c r="N1905" s="52" t="str">
        <f>IF(AND('331-CT'!$E$7=TH!H1905,OR(L1905="331",M1905="331")),"331",IF(AND(OR(L1905="131",M1905="131"),H1905='131-CT'!$E$7),"131",""))</f>
        <v/>
      </c>
      <c r="O1905" s="89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54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244"/>
        <v>12</v>
      </c>
      <c r="C1906" s="48">
        <f t="shared" si="245"/>
        <v>42004</v>
      </c>
      <c r="D1906" s="914" t="s">
        <v>1383</v>
      </c>
      <c r="E1906" s="914">
        <v>42004</v>
      </c>
      <c r="F1906" s="915" t="s">
        <v>883</v>
      </c>
      <c r="G1906" s="936" t="s">
        <v>882</v>
      </c>
      <c r="H1906" s="919" t="s">
        <v>1376</v>
      </c>
      <c r="I1906" s="254">
        <v>210</v>
      </c>
      <c r="J1906" s="254">
        <v>5182.073059727255</v>
      </c>
      <c r="K1906" s="916">
        <f t="shared" si="246"/>
        <v>1088235</v>
      </c>
      <c r="L1906" s="896" t="s">
        <v>169</v>
      </c>
      <c r="M1906" s="935" t="s">
        <v>167</v>
      </c>
      <c r="N1906" s="52" t="str">
        <f>IF(AND('331-CT'!$E$7=TH!H1906,OR(L1906="331",M1906="331")),"331",IF(AND(OR(L1906="131",M1906="131"),H1906='131-CT'!$E$7),"131",""))</f>
        <v/>
      </c>
      <c r="O1906" s="89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54"/>
    </row>
    <row r="1907" spans="1:28" s="917" customFormat="1" ht="15.75" customHeight="1">
      <c r="A1907" s="912" t="str">
        <f>IF(B1907&lt;&gt;"",IF(AND(B1907&gt;=_TM1,B1907&lt;=_TM2,OR(TH!L1907="1111",TH!M1907="1111")),TH!D1907,""),"")</f>
        <v/>
      </c>
      <c r="B1907" s="913">
        <f t="shared" si="244"/>
        <v>12</v>
      </c>
      <c r="C1907" s="48">
        <f t="shared" si="245"/>
        <v>42004</v>
      </c>
      <c r="D1907" s="914" t="s">
        <v>1383</v>
      </c>
      <c r="E1907" s="914">
        <v>42004</v>
      </c>
      <c r="F1907" s="915" t="s">
        <v>884</v>
      </c>
      <c r="G1907" s="936" t="s">
        <v>882</v>
      </c>
      <c r="H1907" s="919" t="s">
        <v>1376</v>
      </c>
      <c r="I1907" s="254">
        <v>130</v>
      </c>
      <c r="J1907" s="254">
        <v>5346.5833155916125</v>
      </c>
      <c r="K1907" s="916">
        <f t="shared" si="246"/>
        <v>695056</v>
      </c>
      <c r="L1907" s="896" t="s">
        <v>169</v>
      </c>
      <c r="M1907" s="935" t="s">
        <v>167</v>
      </c>
      <c r="N1907" s="52" t="str">
        <f>IF(AND('331-CT'!$E$7=TH!H1907,OR(L1907="331",M1907="331")),"331",IF(AND(OR(L1907="131",M1907="131"),H1907='131-CT'!$E$7),"131",""))</f>
        <v/>
      </c>
      <c r="O1907" s="89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54"/>
    </row>
    <row r="1908" spans="1:28" s="917" customFormat="1" ht="15.75" customHeight="1">
      <c r="A1908" s="912" t="str">
        <f>IF(B1908&lt;&gt;"",IF(AND(B1908&gt;=_TM1,B1908&lt;=_TM2,OR(TH!L1908="1111",TH!M1908="1111")),TH!D1908,""),"")</f>
        <v/>
      </c>
      <c r="B1908" s="913">
        <f t="shared" si="244"/>
        <v>12</v>
      </c>
      <c r="C1908" s="48">
        <f t="shared" ref="C1908:C1915" si="247">E1908</f>
        <v>42004</v>
      </c>
      <c r="D1908" s="914" t="s">
        <v>1383</v>
      </c>
      <c r="E1908" s="48">
        <v>42004</v>
      </c>
      <c r="F1908" s="937" t="s">
        <v>885</v>
      </c>
      <c r="G1908" s="49" t="s">
        <v>882</v>
      </c>
      <c r="H1908" s="919" t="s">
        <v>1376</v>
      </c>
      <c r="I1908" s="254">
        <v>170</v>
      </c>
      <c r="J1908" s="254">
        <v>4688.5422921341833</v>
      </c>
      <c r="K1908" s="916">
        <f t="shared" ref="K1908:K1914" si="248">ROUND(I1908*J1908,0)</f>
        <v>797052</v>
      </c>
      <c r="L1908" s="896" t="s">
        <v>169</v>
      </c>
      <c r="M1908" s="935" t="s">
        <v>167</v>
      </c>
      <c r="N1908" s="52" t="str">
        <f>IF(AND('331-CT'!$E$7=TH!H1908,OR(L1908="331",M1908="331")),"331",IF(AND(OR(L1908="131",M1908="131"),H1908='131-CT'!$E$7),"131",""))</f>
        <v/>
      </c>
      <c r="O1908" s="89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54"/>
    </row>
    <row r="1909" spans="1:28" s="917" customFormat="1" ht="15.75" customHeight="1">
      <c r="A1909" s="912" t="str">
        <f>IF(B1909&lt;&gt;"",IF(AND(B1909&gt;=_TM1,B1909&lt;=_TM2,OR(TH!L1909="1111",TH!M1909="1111")),TH!D1909,""),"")</f>
        <v/>
      </c>
      <c r="B1909" s="913">
        <f t="shared" si="244"/>
        <v>12</v>
      </c>
      <c r="C1909" s="48">
        <f t="shared" si="247"/>
        <v>42004</v>
      </c>
      <c r="D1909" s="914" t="s">
        <v>1383</v>
      </c>
      <c r="E1909" s="48">
        <v>42004</v>
      </c>
      <c r="F1909" s="937" t="s">
        <v>886</v>
      </c>
      <c r="G1909" s="49" t="s">
        <v>887</v>
      </c>
      <c r="H1909" s="919" t="s">
        <v>1376</v>
      </c>
      <c r="I1909" s="254">
        <v>200</v>
      </c>
      <c r="J1909" s="254">
        <v>9212.5743284040109</v>
      </c>
      <c r="K1909" s="916">
        <f t="shared" si="248"/>
        <v>1842515</v>
      </c>
      <c r="L1909" s="896" t="s">
        <v>169</v>
      </c>
      <c r="M1909" s="935" t="s">
        <v>167</v>
      </c>
      <c r="N1909" s="52" t="str">
        <f>IF(AND('331-CT'!$E$7=TH!H1909,OR(L1909="331",M1909="331")),"331",IF(AND(OR(L1909="131",M1909="131"),H1909='131-CT'!$E$7),"131",""))</f>
        <v/>
      </c>
      <c r="O1909" s="89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54"/>
    </row>
    <row r="1910" spans="1:28" s="917" customFormat="1" ht="15.75" customHeight="1">
      <c r="A1910" s="912" t="str">
        <f>IF(B1910&lt;&gt;"",IF(AND(B1910&gt;=_TM1,B1910&lt;=_TM2,OR(TH!L1910="1111",TH!M1910="1111")),TH!D1910,""),"")</f>
        <v/>
      </c>
      <c r="B1910" s="913">
        <f t="shared" si="244"/>
        <v>12</v>
      </c>
      <c r="C1910" s="48">
        <f t="shared" si="247"/>
        <v>42004</v>
      </c>
      <c r="D1910" s="914" t="s">
        <v>1383</v>
      </c>
      <c r="E1910" s="48">
        <v>42004</v>
      </c>
      <c r="F1910" s="937" t="s">
        <v>889</v>
      </c>
      <c r="G1910" s="49" t="s">
        <v>887</v>
      </c>
      <c r="H1910" s="919" t="s">
        <v>1376</v>
      </c>
      <c r="I1910" s="254">
        <v>100</v>
      </c>
      <c r="J1910" s="254">
        <v>32984.306300803641</v>
      </c>
      <c r="K1910" s="916">
        <f t="shared" si="248"/>
        <v>3298431</v>
      </c>
      <c r="L1910" s="896" t="s">
        <v>169</v>
      </c>
      <c r="M1910" s="935" t="s">
        <v>167</v>
      </c>
      <c r="N1910" s="52" t="str">
        <f>IF(AND('331-CT'!$E$7=TH!H1910,OR(L1910="331",M1910="331")),"331",IF(AND(OR(L1910="131",M1910="131"),H1910='131-CT'!$E$7),"131",""))</f>
        <v/>
      </c>
      <c r="O1910" s="89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54"/>
    </row>
    <row r="1911" spans="1:28" s="917" customFormat="1" ht="15.75" customHeight="1">
      <c r="A1911" s="912" t="str">
        <f>IF(B1911&lt;&gt;"",IF(AND(B1911&gt;=_TM1,B1911&lt;=_TM2,OR(TH!L1911="1111",TH!M1911="1111")),TH!D1911,""),"")</f>
        <v/>
      </c>
      <c r="B1911" s="913">
        <f t="shared" si="244"/>
        <v>12</v>
      </c>
      <c r="C1911" s="48">
        <f t="shared" si="247"/>
        <v>42004</v>
      </c>
      <c r="D1911" s="914" t="s">
        <v>1383</v>
      </c>
      <c r="E1911" s="48">
        <v>42004</v>
      </c>
      <c r="F1911" s="937" t="s">
        <v>890</v>
      </c>
      <c r="G1911" s="49" t="s">
        <v>887</v>
      </c>
      <c r="H1911" s="919" t="s">
        <v>1376</v>
      </c>
      <c r="I1911" s="254">
        <v>100</v>
      </c>
      <c r="J1911" s="254">
        <v>34300.388347718501</v>
      </c>
      <c r="K1911" s="916">
        <f t="shared" si="248"/>
        <v>3430039</v>
      </c>
      <c r="L1911" s="896" t="s">
        <v>169</v>
      </c>
      <c r="M1911" s="935" t="s">
        <v>167</v>
      </c>
      <c r="N1911" s="52" t="str">
        <f>IF(AND('331-CT'!$E$7=TH!H1911,OR(L1911="331",M1911="331")),"331",IF(AND(OR(L1911="131",M1911="131"),H1911='131-CT'!$E$7),"131",""))</f>
        <v/>
      </c>
      <c r="O1911" s="89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54"/>
    </row>
    <row r="1912" spans="1:28" s="917" customFormat="1" ht="15.75" customHeight="1">
      <c r="A1912" s="912" t="str">
        <f>IF(B1912&lt;&gt;"",IF(AND(B1912&gt;=_TM1,B1912&lt;=_TM2,OR(TH!L1912="1111",TH!M1912="1111")),TH!D1912,""),"")</f>
        <v/>
      </c>
      <c r="B1912" s="913">
        <f t="shared" si="244"/>
        <v>12</v>
      </c>
      <c r="C1912" s="48">
        <f t="shared" si="247"/>
        <v>42004</v>
      </c>
      <c r="D1912" s="914" t="s">
        <v>1383</v>
      </c>
      <c r="E1912" s="48">
        <v>42004</v>
      </c>
      <c r="F1912" s="915" t="s">
        <v>891</v>
      </c>
      <c r="G1912" s="936" t="s">
        <v>887</v>
      </c>
      <c r="H1912" s="919" t="s">
        <v>1376</v>
      </c>
      <c r="I1912" s="254">
        <v>150</v>
      </c>
      <c r="J1912" s="254">
        <v>28871.549904194708</v>
      </c>
      <c r="K1912" s="916">
        <f t="shared" si="248"/>
        <v>4330732</v>
      </c>
      <c r="L1912" s="896" t="s">
        <v>169</v>
      </c>
      <c r="M1912" s="935" t="s">
        <v>167</v>
      </c>
      <c r="N1912" s="52" t="str">
        <f>IF(AND('331-CT'!$E$7=TH!H1912,OR(L1912="331",M1912="331")),"331",IF(AND(OR(L1912="131",M1912="131"),H1912='131-CT'!$E$7),"131",""))</f>
        <v/>
      </c>
      <c r="O1912" s="89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54"/>
    </row>
    <row r="1913" spans="1:28" s="917" customFormat="1" ht="15.75" customHeight="1">
      <c r="A1913" s="912" t="str">
        <f>IF(B1913&lt;&gt;"",IF(AND(B1913&gt;=_TM1,B1913&lt;=_TM2,OR(TH!L1913="1111",TH!M1913="1111")),TH!D1913,""),"")</f>
        <v/>
      </c>
      <c r="B1913" s="913">
        <f t="shared" si="244"/>
        <v>12</v>
      </c>
      <c r="C1913" s="48">
        <f t="shared" si="247"/>
        <v>42004</v>
      </c>
      <c r="D1913" s="914" t="s">
        <v>1383</v>
      </c>
      <c r="E1913" s="48">
        <v>42004</v>
      </c>
      <c r="F1913" s="915" t="s">
        <v>892</v>
      </c>
      <c r="G1913" s="936" t="s">
        <v>893</v>
      </c>
      <c r="H1913" s="919" t="s">
        <v>1376</v>
      </c>
      <c r="I1913" s="254">
        <v>1280</v>
      </c>
      <c r="J1913" s="254">
        <v>13489.840980877299</v>
      </c>
      <c r="K1913" s="916">
        <f t="shared" si="248"/>
        <v>17266996</v>
      </c>
      <c r="L1913" s="896" t="s">
        <v>169</v>
      </c>
      <c r="M1913" s="935" t="s">
        <v>167</v>
      </c>
      <c r="N1913" s="52" t="str">
        <f>IF(AND('331-CT'!$E$7=TH!H1913,OR(L1913="331",M1913="331")),"331",IF(AND(OR(L1913="131",M1913="131"),H1913='131-CT'!$E$7),"131",""))</f>
        <v/>
      </c>
      <c r="O1913" s="89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54"/>
    </row>
    <row r="1914" spans="1:28" s="856" customFormat="1" ht="15.75" customHeight="1">
      <c r="A1914" s="844" t="str">
        <f>IF(B1914&lt;&gt;"",IF(AND(B1914&gt;=_TM1,B1914&lt;=_TM2,OR(TH!L1914="1111",TH!M1914="1111")),TH!D1914,""),"")</f>
        <v/>
      </c>
      <c r="B1914" s="845">
        <f t="shared" si="244"/>
        <v>1</v>
      </c>
      <c r="C1914" s="933">
        <f t="shared" si="247"/>
        <v>41645</v>
      </c>
      <c r="D1914" s="933" t="s">
        <v>1384</v>
      </c>
      <c r="E1914" s="933">
        <v>41645</v>
      </c>
      <c r="F1914" s="857" t="s">
        <v>418</v>
      </c>
      <c r="G1914" s="858" t="s">
        <v>419</v>
      </c>
      <c r="H1914" s="850" t="s">
        <v>1377</v>
      </c>
      <c r="I1914" s="851">
        <v>2110</v>
      </c>
      <c r="J1914" s="851">
        <v>5680.7204068749725</v>
      </c>
      <c r="K1914" s="852">
        <f t="shared" si="248"/>
        <v>11986320</v>
      </c>
      <c r="L1914" s="934" t="s">
        <v>175</v>
      </c>
      <c r="M1914" s="934" t="s">
        <v>169</v>
      </c>
      <c r="N1914" s="52" t="str">
        <f>IF(AND('331-CT'!$E$7=TH!H1914,OR(L1914="331",M1914="331")),"331",IF(AND(OR(L1914="131",M1914="131"),H1914='131-CT'!$E$7),"131",""))</f>
        <v/>
      </c>
      <c r="O1914" s="89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54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ref="B1915:B1978" si="249">IF(C1915&lt;&gt;"",MONTH(C1915),"")</f>
        <v>1</v>
      </c>
      <c r="C1915" s="37">
        <f t="shared" si="247"/>
        <v>41645</v>
      </c>
      <c r="D1915" s="37" t="s">
        <v>1384</v>
      </c>
      <c r="E1915" s="37">
        <v>41645</v>
      </c>
      <c r="F1915" s="192" t="s">
        <v>422</v>
      </c>
      <c r="G1915" s="468" t="s">
        <v>423</v>
      </c>
      <c r="H1915" s="7" t="s">
        <v>1377</v>
      </c>
      <c r="I1915" s="256">
        <v>500</v>
      </c>
      <c r="J1915" s="256">
        <v>13025.593459007674</v>
      </c>
      <c r="K1915" s="568">
        <f t="shared" ref="K1915:K1978" si="250">ROUND(I1915*J1915,0)</f>
        <v>6512797</v>
      </c>
      <c r="L1915" s="194" t="s">
        <v>175</v>
      </c>
      <c r="M1915" s="194" t="s">
        <v>169</v>
      </c>
      <c r="N1915" s="52" t="str">
        <f>IF(AND('331-CT'!$E$7=TH!H1915,OR(L1915="331",M1915="331")),"331",IF(AND(OR(L1915="131",M1915="131"),H1915='131-CT'!$E$7),"131",""))</f>
        <v/>
      </c>
      <c r="O1915" s="89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54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249"/>
        <v>1</v>
      </c>
      <c r="C1916" s="37">
        <f t="shared" ref="C1916:C1979" si="251">E1916</f>
        <v>41645</v>
      </c>
      <c r="D1916" s="37" t="s">
        <v>1384</v>
      </c>
      <c r="E1916" s="37">
        <v>41645</v>
      </c>
      <c r="F1916" s="192" t="s">
        <v>446</v>
      </c>
      <c r="G1916" s="468" t="s">
        <v>423</v>
      </c>
      <c r="H1916" s="7" t="s">
        <v>1377</v>
      </c>
      <c r="I1916" s="256">
        <v>1000</v>
      </c>
      <c r="J1916" s="256">
        <v>3577.5434590076748</v>
      </c>
      <c r="K1916" s="568">
        <f t="shared" si="250"/>
        <v>3577543</v>
      </c>
      <c r="L1916" s="194" t="s">
        <v>175</v>
      </c>
      <c r="M1916" s="194" t="s">
        <v>169</v>
      </c>
      <c r="N1916" s="52" t="str">
        <f>IF(AND('331-CT'!$E$7=TH!H1916,OR(L1916="331",M1916="331")),"331",IF(AND(OR(L1916="131",M1916="131"),H1916='131-CT'!$E$7),"131",""))</f>
        <v/>
      </c>
      <c r="O1916" s="89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54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249"/>
        <v>1</v>
      </c>
      <c r="C1917" s="37">
        <f t="shared" si="251"/>
        <v>41664</v>
      </c>
      <c r="D1917" s="37" t="s">
        <v>1384</v>
      </c>
      <c r="E1917" s="37">
        <v>41664</v>
      </c>
      <c r="F1917" s="192" t="s">
        <v>424</v>
      </c>
      <c r="G1917" s="468" t="s">
        <v>425</v>
      </c>
      <c r="H1917" s="7" t="s">
        <v>1377</v>
      </c>
      <c r="I1917" s="256">
        <v>510</v>
      </c>
      <c r="J1917" s="256">
        <v>9972.2724001841434</v>
      </c>
      <c r="K1917" s="568">
        <f t="shared" si="250"/>
        <v>5085859</v>
      </c>
      <c r="L1917" s="194" t="s">
        <v>175</v>
      </c>
      <c r="M1917" s="194" t="s">
        <v>169</v>
      </c>
      <c r="N1917" s="52" t="str">
        <f>IF(AND('331-CT'!$E$7=TH!H1917,OR(L1917="331",M1917="331")),"331",IF(AND(OR(L1917="131",M1917="131"),H1917='131-CT'!$E$7),"131",""))</f>
        <v/>
      </c>
      <c r="O1917" s="89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54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249"/>
        <v>1</v>
      </c>
      <c r="C1918" s="37">
        <f t="shared" si="251"/>
        <v>41664</v>
      </c>
      <c r="D1918" s="37" t="s">
        <v>1384</v>
      </c>
      <c r="E1918" s="37">
        <v>41664</v>
      </c>
      <c r="F1918" s="192" t="s">
        <v>427</v>
      </c>
      <c r="G1918" s="468" t="s">
        <v>428</v>
      </c>
      <c r="H1918" s="7" t="s">
        <v>1377</v>
      </c>
      <c r="I1918" s="256">
        <v>563</v>
      </c>
      <c r="J1918" s="256">
        <v>10837.503828457053</v>
      </c>
      <c r="K1918" s="568">
        <f t="shared" si="250"/>
        <v>6101515</v>
      </c>
      <c r="L1918" s="194" t="s">
        <v>175</v>
      </c>
      <c r="M1918" s="194" t="s">
        <v>169</v>
      </c>
      <c r="N1918" s="52" t="str">
        <f>IF(AND('331-CT'!$E$7=TH!H1918,OR(L1918="331",M1918="331")),"331",IF(AND(OR(L1918="131",M1918="131"),H1918='131-CT'!$E$7),"131",""))</f>
        <v/>
      </c>
      <c r="O1918" s="89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54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249"/>
        <v>1</v>
      </c>
      <c r="C1919" s="37">
        <f t="shared" si="251"/>
        <v>41664</v>
      </c>
      <c r="D1919" s="37" t="s">
        <v>1384</v>
      </c>
      <c r="E1919" s="37">
        <v>41664</v>
      </c>
      <c r="F1919" s="192" t="s">
        <v>429</v>
      </c>
      <c r="G1919" s="468" t="s">
        <v>428</v>
      </c>
      <c r="H1919" s="7" t="s">
        <v>1377</v>
      </c>
      <c r="I1919" s="256">
        <v>234</v>
      </c>
      <c r="J1919" s="256">
        <v>10412.910911999126</v>
      </c>
      <c r="K1919" s="568">
        <f t="shared" si="250"/>
        <v>2436621</v>
      </c>
      <c r="L1919" s="194" t="s">
        <v>175</v>
      </c>
      <c r="M1919" s="194" t="s">
        <v>169</v>
      </c>
      <c r="N1919" s="52" t="str">
        <f>IF(AND('331-CT'!$E$7=TH!H1919,OR(L1919="331",M1919="331")),"331",IF(AND(OR(L1919="131",M1919="131"),H1919='131-CT'!$E$7),"131",""))</f>
        <v/>
      </c>
      <c r="O1919" s="89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54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249"/>
        <v>1</v>
      </c>
      <c r="C1920" s="37">
        <f t="shared" si="251"/>
        <v>41664</v>
      </c>
      <c r="D1920" s="37" t="s">
        <v>1384</v>
      </c>
      <c r="E1920" s="37">
        <v>41664</v>
      </c>
      <c r="F1920" s="192" t="s">
        <v>430</v>
      </c>
      <c r="G1920" s="468" t="s">
        <v>428</v>
      </c>
      <c r="H1920" s="7" t="s">
        <v>1377</v>
      </c>
      <c r="I1920" s="256">
        <v>233</v>
      </c>
      <c r="J1920" s="256">
        <v>6855.1984289647553</v>
      </c>
      <c r="K1920" s="568">
        <f t="shared" si="250"/>
        <v>1597261</v>
      </c>
      <c r="L1920" s="194" t="s">
        <v>175</v>
      </c>
      <c r="M1920" s="194" t="s">
        <v>169</v>
      </c>
      <c r="N1920" s="52" t="str">
        <f>IF(AND('331-CT'!$E$7=TH!H1920,OR(L1920="331",M1920="331")),"331",IF(AND(OR(L1920="131",M1920="131"),H1920='131-CT'!$E$7),"131",""))</f>
        <v/>
      </c>
      <c r="O1920" s="89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54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249"/>
        <v>1</v>
      </c>
      <c r="C1921" s="37">
        <f t="shared" si="251"/>
        <v>41664</v>
      </c>
      <c r="D1921" s="37" t="s">
        <v>1384</v>
      </c>
      <c r="E1921" s="37">
        <v>41664</v>
      </c>
      <c r="F1921" s="192" t="s">
        <v>431</v>
      </c>
      <c r="G1921" s="468" t="s">
        <v>428</v>
      </c>
      <c r="H1921" s="7" t="s">
        <v>1377</v>
      </c>
      <c r="I1921" s="256">
        <v>308</v>
      </c>
      <c r="J1921" s="256">
        <v>9159.919459007675</v>
      </c>
      <c r="K1921" s="568">
        <f t="shared" si="250"/>
        <v>2821255</v>
      </c>
      <c r="L1921" s="194" t="s">
        <v>175</v>
      </c>
      <c r="M1921" s="194" t="s">
        <v>169</v>
      </c>
      <c r="N1921" s="52" t="str">
        <f>IF(AND('331-CT'!$E$7=TH!H1921,OR(L1921="331",M1921="331")),"331",IF(AND(OR(L1921="131",M1921="131"),H1921='131-CT'!$E$7),"131",""))</f>
        <v/>
      </c>
      <c r="O1921" s="89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54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249"/>
        <v>1</v>
      </c>
      <c r="C1922" s="37">
        <f t="shared" si="251"/>
        <v>41664</v>
      </c>
      <c r="D1922" s="37" t="s">
        <v>1384</v>
      </c>
      <c r="E1922" s="37">
        <v>41664</v>
      </c>
      <c r="F1922" s="192" t="s">
        <v>432</v>
      </c>
      <c r="G1922" s="468" t="s">
        <v>433</v>
      </c>
      <c r="H1922" s="7" t="s">
        <v>1377</v>
      </c>
      <c r="I1922" s="256">
        <v>1038</v>
      </c>
      <c r="J1922" s="256">
        <v>11549.3992277938</v>
      </c>
      <c r="K1922" s="568">
        <f t="shared" si="250"/>
        <v>11988276</v>
      </c>
      <c r="L1922" s="194" t="s">
        <v>175</v>
      </c>
      <c r="M1922" s="194" t="s">
        <v>169</v>
      </c>
      <c r="N1922" s="52" t="str">
        <f>IF(AND('331-CT'!$E$7=TH!H1922,OR(L1922="331",M1922="331")),"331",IF(AND(OR(L1922="131",M1922="131"),H1922='131-CT'!$E$7),"131",""))</f>
        <v/>
      </c>
      <c r="O1922" s="89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54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249"/>
        <v>1</v>
      </c>
      <c r="C1923" s="37">
        <f t="shared" si="251"/>
        <v>41664</v>
      </c>
      <c r="D1923" s="37" t="s">
        <v>1384</v>
      </c>
      <c r="E1923" s="37">
        <v>41664</v>
      </c>
      <c r="F1923" s="192" t="s">
        <v>434</v>
      </c>
      <c r="G1923" s="468" t="s">
        <v>435</v>
      </c>
      <c r="H1923" s="7" t="s">
        <v>1377</v>
      </c>
      <c r="I1923" s="256">
        <v>200</v>
      </c>
      <c r="J1923" s="256">
        <v>13565.829459007673</v>
      </c>
      <c r="K1923" s="568">
        <f t="shared" si="250"/>
        <v>2713166</v>
      </c>
      <c r="L1923" s="194" t="s">
        <v>175</v>
      </c>
      <c r="M1923" s="194" t="s">
        <v>169</v>
      </c>
      <c r="N1923" s="52" t="str">
        <f>IF(AND('331-CT'!$E$7=TH!H1923,OR(L1923="331",M1923="331")),"331",IF(AND(OR(L1923="131",M1923="131"),H1923='131-CT'!$E$7),"131",""))</f>
        <v/>
      </c>
      <c r="O1923" s="89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54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249"/>
        <v>2</v>
      </c>
      <c r="C1924" s="37">
        <f t="shared" si="251"/>
        <v>41684</v>
      </c>
      <c r="D1924" s="37" t="s">
        <v>1384</v>
      </c>
      <c r="E1924" s="37">
        <v>41684</v>
      </c>
      <c r="F1924" s="192" t="s">
        <v>437</v>
      </c>
      <c r="G1924" s="468" t="s">
        <v>438</v>
      </c>
      <c r="H1924" s="7" t="s">
        <v>1377</v>
      </c>
      <c r="I1924" s="256">
        <v>588</v>
      </c>
      <c r="J1924" s="256">
        <v>9650.7885066267208</v>
      </c>
      <c r="K1924" s="568">
        <f t="shared" si="250"/>
        <v>5674664</v>
      </c>
      <c r="L1924" s="194" t="s">
        <v>175</v>
      </c>
      <c r="M1924" s="194" t="s">
        <v>169</v>
      </c>
      <c r="N1924" s="52" t="str">
        <f>IF(AND('331-CT'!$E$7=TH!H1924,OR(L1924="331",M1924="331")),"331",IF(AND(OR(L1924="131",M1924="131"),H1924='131-CT'!$E$7),"131",""))</f>
        <v/>
      </c>
      <c r="O1924" s="89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54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249"/>
        <v>2</v>
      </c>
      <c r="C1925" s="37">
        <f t="shared" si="251"/>
        <v>41684</v>
      </c>
      <c r="D1925" s="37" t="s">
        <v>1384</v>
      </c>
      <c r="E1925" s="37">
        <v>41684</v>
      </c>
      <c r="F1925" s="192" t="s">
        <v>437</v>
      </c>
      <c r="G1925" s="468" t="s">
        <v>438</v>
      </c>
      <c r="H1925" s="7" t="s">
        <v>1377</v>
      </c>
      <c r="I1925" s="256">
        <v>598</v>
      </c>
      <c r="J1925" s="256">
        <v>9008.9077533220534</v>
      </c>
      <c r="K1925" s="568">
        <f t="shared" si="250"/>
        <v>5387327</v>
      </c>
      <c r="L1925" s="194" t="s">
        <v>175</v>
      </c>
      <c r="M1925" s="194" t="s">
        <v>169</v>
      </c>
      <c r="N1925" s="52" t="str">
        <f>IF(AND('331-CT'!$E$7=TH!H1925,OR(L1925="331",M1925="331")),"331",IF(AND(OR(L1925="131",M1925="131"),H1925='131-CT'!$E$7),"131",""))</f>
        <v/>
      </c>
      <c r="O1925" s="89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54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249"/>
        <v>2</v>
      </c>
      <c r="C1926" s="37">
        <f t="shared" si="251"/>
        <v>41689</v>
      </c>
      <c r="D1926" s="37" t="s">
        <v>1384</v>
      </c>
      <c r="E1926" s="191">
        <v>41689</v>
      </c>
      <c r="F1926" s="192" t="s">
        <v>440</v>
      </c>
      <c r="G1926" s="468" t="s">
        <v>441</v>
      </c>
      <c r="H1926" s="7" t="s">
        <v>1377</v>
      </c>
      <c r="I1926" s="256">
        <v>160</v>
      </c>
      <c r="J1926" s="256">
        <v>16891.169459007673</v>
      </c>
      <c r="K1926" s="568">
        <f t="shared" si="250"/>
        <v>2702587</v>
      </c>
      <c r="L1926" s="194" t="s">
        <v>175</v>
      </c>
      <c r="M1926" s="194" t="s">
        <v>169</v>
      </c>
      <c r="N1926" s="52" t="str">
        <f>IF(AND('331-CT'!$E$7=TH!H1926,OR(L1926="331",M1926="331")),"331",IF(AND(OR(L1926="131",M1926="131"),H1926='131-CT'!$E$7),"131",""))</f>
        <v/>
      </c>
      <c r="O1926" s="89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54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249"/>
        <v>2</v>
      </c>
      <c r="C1927" s="37">
        <f t="shared" si="251"/>
        <v>41690</v>
      </c>
      <c r="D1927" s="37" t="s">
        <v>1384</v>
      </c>
      <c r="E1927" s="191">
        <v>41690</v>
      </c>
      <c r="F1927" s="192" t="s">
        <v>424</v>
      </c>
      <c r="G1927" s="468" t="s">
        <v>443</v>
      </c>
      <c r="H1927" s="7" t="s">
        <v>1377</v>
      </c>
      <c r="I1927" s="256">
        <v>500</v>
      </c>
      <c r="J1927" s="256">
        <v>10971.519459007675</v>
      </c>
      <c r="K1927" s="568">
        <f t="shared" si="250"/>
        <v>5485760</v>
      </c>
      <c r="L1927" s="194" t="s">
        <v>175</v>
      </c>
      <c r="M1927" s="194" t="s">
        <v>169</v>
      </c>
      <c r="N1927" s="52" t="str">
        <f>IF(AND('331-CT'!$E$7=TH!H1927,OR(L1927="331",M1927="331")),"331",IF(AND(OR(L1927="131",M1927="131"),H1927='131-CT'!$E$7),"131",""))</f>
        <v/>
      </c>
      <c r="O1927" s="89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54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249"/>
        <v>2</v>
      </c>
      <c r="C1928" s="37">
        <f t="shared" si="251"/>
        <v>41691</v>
      </c>
      <c r="D1928" s="37" t="s">
        <v>1384</v>
      </c>
      <c r="E1928" s="191">
        <v>41691</v>
      </c>
      <c r="F1928" s="192" t="s">
        <v>437</v>
      </c>
      <c r="G1928" s="468" t="s">
        <v>444</v>
      </c>
      <c r="H1928" s="7" t="s">
        <v>1377</v>
      </c>
      <c r="I1928" s="256">
        <v>608</v>
      </c>
      <c r="J1928" s="256">
        <v>9390.7829458497781</v>
      </c>
      <c r="K1928" s="568">
        <f t="shared" si="250"/>
        <v>5709596</v>
      </c>
      <c r="L1928" s="194" t="s">
        <v>175</v>
      </c>
      <c r="M1928" s="194" t="s">
        <v>169</v>
      </c>
      <c r="N1928" s="52" t="str">
        <f>IF(AND('331-CT'!$E$7=TH!H1928,OR(L1928="331",M1928="331")),"331",IF(AND(OR(L1928="131",M1928="131"),H1928='131-CT'!$E$7),"131",""))</f>
        <v/>
      </c>
      <c r="O1928" s="89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54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249"/>
        <v>2</v>
      </c>
      <c r="C1929" s="37">
        <f t="shared" si="251"/>
        <v>41691</v>
      </c>
      <c r="D1929" s="37" t="s">
        <v>1384</v>
      </c>
      <c r="E1929" s="191">
        <v>41691</v>
      </c>
      <c r="F1929" s="192" t="s">
        <v>437</v>
      </c>
      <c r="G1929" s="468" t="s">
        <v>444</v>
      </c>
      <c r="H1929" s="7" t="s">
        <v>1377</v>
      </c>
      <c r="I1929" s="256">
        <v>633</v>
      </c>
      <c r="J1929" s="256">
        <v>10034.349158849696</v>
      </c>
      <c r="K1929" s="568">
        <f t="shared" si="250"/>
        <v>6351743</v>
      </c>
      <c r="L1929" s="194" t="s">
        <v>175</v>
      </c>
      <c r="M1929" s="194" t="s">
        <v>169</v>
      </c>
      <c r="N1929" s="52" t="str">
        <f>IF(AND('331-CT'!$E$7=TH!H1929,OR(L1929="331",M1929="331")),"331",IF(AND(OR(L1929="131",M1929="131"),H1929='131-CT'!$E$7),"131",""))</f>
        <v/>
      </c>
      <c r="O1929" s="89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54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249"/>
        <v>2</v>
      </c>
      <c r="C1930" s="37">
        <f t="shared" si="251"/>
        <v>41694</v>
      </c>
      <c r="D1930" s="37" t="s">
        <v>1384</v>
      </c>
      <c r="E1930" s="191">
        <v>41694</v>
      </c>
      <c r="F1930" s="192" t="s">
        <v>422</v>
      </c>
      <c r="G1930" s="468" t="s">
        <v>445</v>
      </c>
      <c r="H1930" s="7" t="s">
        <v>1377</v>
      </c>
      <c r="I1930" s="256">
        <v>490</v>
      </c>
      <c r="J1930" s="256">
        <v>15685.93986717094</v>
      </c>
      <c r="K1930" s="568">
        <f t="shared" si="250"/>
        <v>7686111</v>
      </c>
      <c r="L1930" s="194" t="s">
        <v>175</v>
      </c>
      <c r="M1930" s="194" t="s">
        <v>169</v>
      </c>
      <c r="N1930" s="52" t="str">
        <f>IF(AND('331-CT'!$E$7=TH!H1930,OR(L1930="331",M1930="331")),"331",IF(AND(OR(L1930="131",M1930="131"),H1930='131-CT'!$E$7),"131",""))</f>
        <v/>
      </c>
      <c r="O1930" s="89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54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249"/>
        <v>2</v>
      </c>
      <c r="C1931" s="37">
        <f t="shared" si="251"/>
        <v>41694</v>
      </c>
      <c r="D1931" s="37" t="s">
        <v>1384</v>
      </c>
      <c r="E1931" s="191">
        <v>41694</v>
      </c>
      <c r="F1931" s="192" t="s">
        <v>446</v>
      </c>
      <c r="G1931" s="468" t="s">
        <v>445</v>
      </c>
      <c r="H1931" s="7" t="s">
        <v>1377</v>
      </c>
      <c r="I1931" s="256">
        <v>980</v>
      </c>
      <c r="J1931" s="256">
        <v>3001.7561937015516</v>
      </c>
      <c r="K1931" s="568">
        <f t="shared" si="250"/>
        <v>2941721</v>
      </c>
      <c r="L1931" s="194" t="s">
        <v>175</v>
      </c>
      <c r="M1931" s="194" t="s">
        <v>169</v>
      </c>
      <c r="N1931" s="52" t="str">
        <f>IF(AND('331-CT'!$E$7=TH!H1931,OR(L1931="331",M1931="331")),"331",IF(AND(OR(L1931="131",M1931="131"),H1931='131-CT'!$E$7),"131",""))</f>
        <v/>
      </c>
      <c r="O1931" s="89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54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249"/>
        <v>2</v>
      </c>
      <c r="C1932" s="37">
        <f t="shared" si="251"/>
        <v>41697</v>
      </c>
      <c r="D1932" s="37" t="s">
        <v>1384</v>
      </c>
      <c r="E1932" s="191">
        <v>41697</v>
      </c>
      <c r="F1932" s="192" t="s">
        <v>447</v>
      </c>
      <c r="G1932" s="468" t="s">
        <v>448</v>
      </c>
      <c r="H1932" s="7" t="s">
        <v>1377</v>
      </c>
      <c r="I1932" s="256">
        <v>2500</v>
      </c>
      <c r="J1932" s="256">
        <v>5003.919459007674</v>
      </c>
      <c r="K1932" s="568">
        <f t="shared" si="250"/>
        <v>12509799</v>
      </c>
      <c r="L1932" s="194" t="s">
        <v>175</v>
      </c>
      <c r="M1932" s="194" t="s">
        <v>169</v>
      </c>
      <c r="N1932" s="52" t="str">
        <f>IF(AND('331-CT'!$E$7=TH!H1932,OR(L1932="331",M1932="331")),"331",IF(AND(OR(L1932="131",M1932="131"),H1932='131-CT'!$E$7),"131",""))</f>
        <v/>
      </c>
      <c r="O1932" s="89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54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249"/>
        <v>2</v>
      </c>
      <c r="C1933" s="37">
        <f t="shared" si="251"/>
        <v>41698</v>
      </c>
      <c r="D1933" s="37" t="s">
        <v>1384</v>
      </c>
      <c r="E1933" s="191">
        <v>41698</v>
      </c>
      <c r="F1933" s="192" t="s">
        <v>449</v>
      </c>
      <c r="G1933" s="468" t="s">
        <v>450</v>
      </c>
      <c r="H1933" s="7" t="s">
        <v>1377</v>
      </c>
      <c r="I1933" s="256">
        <v>313</v>
      </c>
      <c r="J1933" s="256">
        <v>7422.4593951099105</v>
      </c>
      <c r="K1933" s="568">
        <f t="shared" si="250"/>
        <v>2323230</v>
      </c>
      <c r="L1933" s="194" t="s">
        <v>175</v>
      </c>
      <c r="M1933" s="194" t="s">
        <v>169</v>
      </c>
      <c r="N1933" s="52" t="str">
        <f>IF(AND('331-CT'!$E$7=TH!H1933,OR(L1933="331",M1933="331")),"331",IF(AND(OR(L1933="131",M1933="131"),H1933='131-CT'!$E$7),"131",""))</f>
        <v/>
      </c>
      <c r="O1933" s="89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54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249"/>
        <v>2</v>
      </c>
      <c r="C1934" s="37">
        <f t="shared" si="251"/>
        <v>41698</v>
      </c>
      <c r="D1934" s="37" t="s">
        <v>1384</v>
      </c>
      <c r="E1934" s="191">
        <v>41698</v>
      </c>
      <c r="F1934" s="192" t="s">
        <v>431</v>
      </c>
      <c r="G1934" s="468" t="s">
        <v>450</v>
      </c>
      <c r="H1934" s="7" t="s">
        <v>1377</v>
      </c>
      <c r="I1934" s="256">
        <v>586</v>
      </c>
      <c r="J1934" s="256">
        <v>8975.8716774377081</v>
      </c>
      <c r="K1934" s="568">
        <f t="shared" si="250"/>
        <v>5259861</v>
      </c>
      <c r="L1934" s="194" t="s">
        <v>175</v>
      </c>
      <c r="M1934" s="194" t="s">
        <v>169</v>
      </c>
      <c r="N1934" s="52" t="str">
        <f>IF(AND('331-CT'!$E$7=TH!H1934,OR(L1934="331",M1934="331")),"331",IF(AND(OR(L1934="131",M1934="131"),H1934='131-CT'!$E$7),"131",""))</f>
        <v/>
      </c>
      <c r="O1934" s="89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54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249"/>
        <v>2</v>
      </c>
      <c r="C1935" s="37">
        <f t="shared" si="251"/>
        <v>41698</v>
      </c>
      <c r="D1935" s="37" t="s">
        <v>1384</v>
      </c>
      <c r="E1935" s="191">
        <v>41698</v>
      </c>
      <c r="F1935" s="192" t="s">
        <v>451</v>
      </c>
      <c r="G1935" s="468" t="s">
        <v>450</v>
      </c>
      <c r="H1935" s="7" t="s">
        <v>1377</v>
      </c>
      <c r="I1935" s="256">
        <v>310</v>
      </c>
      <c r="J1935" s="256">
        <v>13042.958168685092</v>
      </c>
      <c r="K1935" s="568">
        <f t="shared" si="250"/>
        <v>4043317</v>
      </c>
      <c r="L1935" s="194" t="s">
        <v>175</v>
      </c>
      <c r="M1935" s="194" t="s">
        <v>169</v>
      </c>
      <c r="N1935" s="52" t="str">
        <f>IF(AND('331-CT'!$E$7=TH!H1935,OR(L1935="331",M1935="331")),"331",IF(AND(OR(L1935="131",M1935="131"),H1935='131-CT'!$E$7),"131",""))</f>
        <v/>
      </c>
      <c r="O1935" s="89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54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249"/>
        <v>2</v>
      </c>
      <c r="C1936" s="37">
        <f t="shared" si="251"/>
        <v>41698</v>
      </c>
      <c r="D1936" s="37" t="s">
        <v>1384</v>
      </c>
      <c r="E1936" s="191">
        <v>41698</v>
      </c>
      <c r="F1936" s="192" t="s">
        <v>452</v>
      </c>
      <c r="G1936" s="468" t="s">
        <v>450</v>
      </c>
      <c r="H1936" s="7" t="s">
        <v>1377</v>
      </c>
      <c r="I1936" s="256">
        <v>200</v>
      </c>
      <c r="J1936" s="256">
        <v>9206.669459007675</v>
      </c>
      <c r="K1936" s="568">
        <f t="shared" si="250"/>
        <v>1841334</v>
      </c>
      <c r="L1936" s="194" t="s">
        <v>175</v>
      </c>
      <c r="M1936" s="194" t="s">
        <v>169</v>
      </c>
      <c r="N1936" s="52" t="str">
        <f>IF(AND('331-CT'!$E$7=TH!H1936,OR(L1936="331",M1936="331")),"331",IF(AND(OR(L1936="131",M1936="131"),H1936='131-CT'!$E$7),"131",""))</f>
        <v/>
      </c>
      <c r="O1936" s="89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54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249"/>
        <v>2</v>
      </c>
      <c r="C1937" s="37">
        <f t="shared" si="251"/>
        <v>41698</v>
      </c>
      <c r="D1937" s="37" t="s">
        <v>1384</v>
      </c>
      <c r="E1937" s="37">
        <v>41698</v>
      </c>
      <c r="F1937" s="296" t="s">
        <v>453</v>
      </c>
      <c r="G1937" s="40" t="s">
        <v>454</v>
      </c>
      <c r="H1937" s="7" t="s">
        <v>1377</v>
      </c>
      <c r="I1937" s="256">
        <v>210</v>
      </c>
      <c r="J1937" s="256">
        <v>12999.919459007671</v>
      </c>
      <c r="K1937" s="568">
        <f t="shared" si="250"/>
        <v>2729983</v>
      </c>
      <c r="L1937" s="194" t="s">
        <v>175</v>
      </c>
      <c r="M1937" s="194" t="s">
        <v>169</v>
      </c>
      <c r="N1937" s="52" t="str">
        <f>IF(AND('331-CT'!$E$7=TH!H1937,OR(L1937="331",M1937="331")),"331",IF(AND(OR(L1937="131",M1937="131"),H1937='131-CT'!$E$7),"131",""))</f>
        <v/>
      </c>
      <c r="O1937" s="89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54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249"/>
        <v>2</v>
      </c>
      <c r="C1938" s="37">
        <f t="shared" si="251"/>
        <v>41698</v>
      </c>
      <c r="D1938" s="37" t="s">
        <v>1384</v>
      </c>
      <c r="E1938" s="37">
        <v>41698</v>
      </c>
      <c r="F1938" s="296" t="s">
        <v>456</v>
      </c>
      <c r="G1938" s="40" t="s">
        <v>454</v>
      </c>
      <c r="H1938" s="7" t="s">
        <v>1377</v>
      </c>
      <c r="I1938" s="256">
        <v>250</v>
      </c>
      <c r="J1938" s="256">
        <v>11940.847459007675</v>
      </c>
      <c r="K1938" s="568">
        <f t="shared" si="250"/>
        <v>2985212</v>
      </c>
      <c r="L1938" s="194" t="s">
        <v>175</v>
      </c>
      <c r="M1938" s="194" t="s">
        <v>169</v>
      </c>
      <c r="N1938" s="52" t="str">
        <f>IF(AND('331-CT'!$E$7=TH!H1938,OR(L1938="331",M1938="331")),"331",IF(AND(OR(L1938="131",M1938="131"),H1938='131-CT'!$E$7),"131",""))</f>
        <v/>
      </c>
      <c r="O1938" s="89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54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249"/>
        <v>2</v>
      </c>
      <c r="C1939" s="37">
        <f t="shared" si="251"/>
        <v>41698</v>
      </c>
      <c r="D1939" s="37" t="s">
        <v>1384</v>
      </c>
      <c r="E1939" s="37">
        <v>41698</v>
      </c>
      <c r="F1939" s="296" t="s">
        <v>457</v>
      </c>
      <c r="G1939" s="40" t="s">
        <v>454</v>
      </c>
      <c r="H1939" s="7" t="s">
        <v>1377</v>
      </c>
      <c r="I1939" s="256">
        <v>100</v>
      </c>
      <c r="J1939" s="256">
        <v>9496.5394590076739</v>
      </c>
      <c r="K1939" s="568">
        <f t="shared" si="250"/>
        <v>949654</v>
      </c>
      <c r="L1939" s="194" t="s">
        <v>175</v>
      </c>
      <c r="M1939" s="194" t="s">
        <v>169</v>
      </c>
      <c r="N1939" s="52" t="str">
        <f>IF(AND('331-CT'!$E$7=TH!H1939,OR(L1939="331",M1939="331")),"331",IF(AND(OR(L1939="131",M1939="131"),H1939='131-CT'!$E$7),"131",""))</f>
        <v/>
      </c>
      <c r="O1939" s="89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54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249"/>
        <v>2</v>
      </c>
      <c r="C1940" s="37">
        <f t="shared" si="251"/>
        <v>41698</v>
      </c>
      <c r="D1940" s="37" t="s">
        <v>1384</v>
      </c>
      <c r="E1940" s="37">
        <v>41698</v>
      </c>
      <c r="F1940" s="296" t="s">
        <v>447</v>
      </c>
      <c r="G1940" s="40" t="s">
        <v>458</v>
      </c>
      <c r="H1940" s="7" t="s">
        <v>1377</v>
      </c>
      <c r="I1940" s="256">
        <v>500</v>
      </c>
      <c r="J1940" s="256">
        <v>7080.5194590076744</v>
      </c>
      <c r="K1940" s="568">
        <f t="shared" si="250"/>
        <v>3540260</v>
      </c>
      <c r="L1940" s="194" t="s">
        <v>175</v>
      </c>
      <c r="M1940" s="194" t="s">
        <v>169</v>
      </c>
      <c r="N1940" s="52" t="str">
        <f>IF(AND('331-CT'!$E$7=TH!H1940,OR(L1940="331",M1940="331")),"331",IF(AND(OR(L1940="131",M1940="131"),H1940='131-CT'!$E$7),"131",""))</f>
        <v/>
      </c>
      <c r="O1940" s="89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54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249"/>
        <v>3</v>
      </c>
      <c r="C1941" s="37">
        <f t="shared" si="251"/>
        <v>41702</v>
      </c>
      <c r="D1941" s="37" t="s">
        <v>1384</v>
      </c>
      <c r="E1941" s="37">
        <v>41702</v>
      </c>
      <c r="F1941" s="192" t="s">
        <v>460</v>
      </c>
      <c r="G1941" s="40" t="s">
        <v>461</v>
      </c>
      <c r="H1941" s="7" t="s">
        <v>1377</v>
      </c>
      <c r="I1941" s="256">
        <v>1115</v>
      </c>
      <c r="J1941" s="256">
        <v>9170.6817908462381</v>
      </c>
      <c r="K1941" s="568">
        <f t="shared" si="250"/>
        <v>10225310</v>
      </c>
      <c r="L1941" s="194" t="s">
        <v>175</v>
      </c>
      <c r="M1941" s="194" t="s">
        <v>169</v>
      </c>
      <c r="N1941" s="52" t="str">
        <f>IF(AND('331-CT'!$E$7=TH!H1941,OR(L1941="331",M1941="331")),"331",IF(AND(OR(L1941="131",M1941="131"),H1941='131-CT'!$E$7),"131",""))</f>
        <v/>
      </c>
      <c r="O1941" s="89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54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249"/>
        <v>3</v>
      </c>
      <c r="C1942" s="37">
        <f t="shared" si="251"/>
        <v>41704</v>
      </c>
      <c r="D1942" s="37" t="s">
        <v>1384</v>
      </c>
      <c r="E1942" s="37">
        <v>41704</v>
      </c>
      <c r="F1942" s="296" t="s">
        <v>424</v>
      </c>
      <c r="G1942" s="40" t="s">
        <v>463</v>
      </c>
      <c r="H1942" s="7" t="s">
        <v>1377</v>
      </c>
      <c r="I1942" s="256">
        <v>505</v>
      </c>
      <c r="J1942" s="256">
        <v>10767.840251086884</v>
      </c>
      <c r="K1942" s="568">
        <f t="shared" si="250"/>
        <v>5437759</v>
      </c>
      <c r="L1942" s="194" t="s">
        <v>175</v>
      </c>
      <c r="M1942" s="194" t="s">
        <v>169</v>
      </c>
      <c r="N1942" s="52" t="str">
        <f>IF(AND('331-CT'!$E$7=TH!H1942,OR(L1942="331",M1942="331")),"331",IF(AND(OR(L1942="131",M1942="131"),H1942='131-CT'!$E$7),"131",""))</f>
        <v/>
      </c>
      <c r="O1942" s="89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54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249"/>
        <v>3</v>
      </c>
      <c r="C1943" s="37">
        <f t="shared" si="251"/>
        <v>41704</v>
      </c>
      <c r="D1943" s="37" t="s">
        <v>1384</v>
      </c>
      <c r="E1943" s="37">
        <v>41704</v>
      </c>
      <c r="F1943" s="296" t="s">
        <v>464</v>
      </c>
      <c r="G1943" s="40" t="s">
        <v>463</v>
      </c>
      <c r="H1943" s="7" t="s">
        <v>1377</v>
      </c>
      <c r="I1943" s="256">
        <v>520</v>
      </c>
      <c r="J1943" s="256">
        <v>12576.842535930751</v>
      </c>
      <c r="K1943" s="568">
        <f t="shared" si="250"/>
        <v>6539958</v>
      </c>
      <c r="L1943" s="194" t="s">
        <v>175</v>
      </c>
      <c r="M1943" s="194" t="s">
        <v>169</v>
      </c>
      <c r="N1943" s="52" t="str">
        <f>IF(AND('331-CT'!$E$7=TH!H1943,OR(L1943="331",M1943="331")),"331",IF(AND(OR(L1943="131",M1943="131"),H1943='131-CT'!$E$7),"131",""))</f>
        <v/>
      </c>
      <c r="O1943" s="89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54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249"/>
        <v>3</v>
      </c>
      <c r="C1944" s="37">
        <f t="shared" si="251"/>
        <v>41704</v>
      </c>
      <c r="D1944" s="37" t="s">
        <v>1384</v>
      </c>
      <c r="E1944" s="37">
        <v>41704</v>
      </c>
      <c r="F1944" s="296" t="s">
        <v>447</v>
      </c>
      <c r="G1944" s="40" t="s">
        <v>465</v>
      </c>
      <c r="H1944" s="7" t="s">
        <v>1377</v>
      </c>
      <c r="I1944" s="256">
        <v>1139</v>
      </c>
      <c r="J1944" s="256">
        <v>4787.0063773571028</v>
      </c>
      <c r="K1944" s="568">
        <f t="shared" si="250"/>
        <v>5452400</v>
      </c>
      <c r="L1944" s="194" t="s">
        <v>175</v>
      </c>
      <c r="M1944" s="194" t="s">
        <v>169</v>
      </c>
      <c r="N1944" s="52" t="str">
        <f>IF(AND('331-CT'!$E$7=TH!H1944,OR(L1944="331",M1944="331")),"331",IF(AND(OR(L1944="131",M1944="131"),H1944='131-CT'!$E$7),"131",""))</f>
        <v/>
      </c>
      <c r="O1944" s="89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54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249"/>
        <v>3</v>
      </c>
      <c r="C1945" s="37">
        <f t="shared" si="251"/>
        <v>41710</v>
      </c>
      <c r="D1945" s="37" t="s">
        <v>1384</v>
      </c>
      <c r="E1945" s="37">
        <v>41710</v>
      </c>
      <c r="F1945" s="296" t="s">
        <v>467</v>
      </c>
      <c r="G1945" s="40" t="s">
        <v>468</v>
      </c>
      <c r="H1945" s="7" t="s">
        <v>1377</v>
      </c>
      <c r="I1945" s="256">
        <v>1638</v>
      </c>
      <c r="J1945" s="256">
        <v>5423.7485188367345</v>
      </c>
      <c r="K1945" s="568">
        <f t="shared" si="250"/>
        <v>8884100</v>
      </c>
      <c r="L1945" s="194" t="s">
        <v>175</v>
      </c>
      <c r="M1945" s="194" t="s">
        <v>169</v>
      </c>
      <c r="N1945" s="52" t="str">
        <f>IF(AND('331-CT'!$E$7=TH!H1945,OR(L1945="331",M1945="331")),"331",IF(AND(OR(L1945="131",M1945="131"),H1945='131-CT'!$E$7),"131",""))</f>
        <v/>
      </c>
      <c r="O1945" s="89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54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249"/>
        <v>3</v>
      </c>
      <c r="C1946" s="37">
        <f t="shared" si="251"/>
        <v>41718</v>
      </c>
      <c r="D1946" s="37" t="s">
        <v>1384</v>
      </c>
      <c r="E1946" s="37">
        <v>41718</v>
      </c>
      <c r="F1946" s="296" t="s">
        <v>447</v>
      </c>
      <c r="G1946" s="40" t="s">
        <v>469</v>
      </c>
      <c r="H1946" s="7" t="s">
        <v>1377</v>
      </c>
      <c r="I1946" s="256">
        <v>110</v>
      </c>
      <c r="J1946" s="256">
        <v>13019.119459007674</v>
      </c>
      <c r="K1946" s="568">
        <f t="shared" si="250"/>
        <v>1432103</v>
      </c>
      <c r="L1946" s="194" t="s">
        <v>175</v>
      </c>
      <c r="M1946" s="194" t="s">
        <v>169</v>
      </c>
      <c r="N1946" s="52" t="str">
        <f>IF(AND('331-CT'!$E$7=TH!H1946,OR(L1946="331",M1946="331")),"331",IF(AND(OR(L1946="131",M1946="131"),H1946='131-CT'!$E$7),"131",""))</f>
        <v/>
      </c>
      <c r="O1946" s="89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54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249"/>
        <v>3</v>
      </c>
      <c r="C1947" s="37">
        <f t="shared" si="251"/>
        <v>41718</v>
      </c>
      <c r="D1947" s="37" t="s">
        <v>1384</v>
      </c>
      <c r="E1947" s="37">
        <v>41718</v>
      </c>
      <c r="F1947" s="192" t="s">
        <v>471</v>
      </c>
      <c r="G1947" s="468" t="s">
        <v>469</v>
      </c>
      <c r="H1947" s="7" t="s">
        <v>1377</v>
      </c>
      <c r="I1947" s="256">
        <v>880</v>
      </c>
      <c r="J1947" s="256">
        <v>5071.339913553129</v>
      </c>
      <c r="K1947" s="568">
        <f t="shared" si="250"/>
        <v>4462779</v>
      </c>
      <c r="L1947" s="194" t="s">
        <v>175</v>
      </c>
      <c r="M1947" s="194" t="s">
        <v>169</v>
      </c>
      <c r="N1947" s="52" t="str">
        <f>IF(AND('331-CT'!$E$7=TH!H1947,OR(L1947="331",M1947="331")),"331",IF(AND(OR(L1947="131",M1947="131"),H1947='131-CT'!$E$7),"131",""))</f>
        <v/>
      </c>
      <c r="O1947" s="89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54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249"/>
        <v>3</v>
      </c>
      <c r="C1948" s="37">
        <f t="shared" si="251"/>
        <v>41720</v>
      </c>
      <c r="D1948" s="37" t="s">
        <v>1384</v>
      </c>
      <c r="E1948" s="37">
        <v>41720</v>
      </c>
      <c r="F1948" s="192" t="s">
        <v>447</v>
      </c>
      <c r="G1948" s="468" t="s">
        <v>472</v>
      </c>
      <c r="H1948" s="7" t="s">
        <v>1377</v>
      </c>
      <c r="I1948" s="256">
        <v>214</v>
      </c>
      <c r="J1948" s="256">
        <v>19833.797963680572</v>
      </c>
      <c r="K1948" s="568">
        <f t="shared" si="250"/>
        <v>4244433</v>
      </c>
      <c r="L1948" s="194" t="s">
        <v>175</v>
      </c>
      <c r="M1948" s="194" t="s">
        <v>169</v>
      </c>
      <c r="N1948" s="52" t="str">
        <f>IF(AND('331-CT'!$E$7=TH!H1948,OR(L1948="331",M1948="331")),"331",IF(AND(OR(L1948="131",M1948="131"),H1948='131-CT'!$E$7),"131",""))</f>
        <v/>
      </c>
      <c r="O1948" s="89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54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249"/>
        <v>3</v>
      </c>
      <c r="C1949" s="37">
        <f t="shared" si="251"/>
        <v>41724</v>
      </c>
      <c r="D1949" s="37" t="s">
        <v>1384</v>
      </c>
      <c r="E1949" s="37">
        <v>41724</v>
      </c>
      <c r="F1949" s="192" t="s">
        <v>474</v>
      </c>
      <c r="G1949" s="468" t="s">
        <v>475</v>
      </c>
      <c r="H1949" s="7" t="s">
        <v>1377</v>
      </c>
      <c r="I1949" s="256">
        <v>1029</v>
      </c>
      <c r="J1949" s="256">
        <v>12279.93889535364</v>
      </c>
      <c r="K1949" s="568">
        <f t="shared" si="250"/>
        <v>12636057</v>
      </c>
      <c r="L1949" s="194" t="s">
        <v>175</v>
      </c>
      <c r="M1949" s="194" t="s">
        <v>169</v>
      </c>
      <c r="N1949" s="52" t="str">
        <f>IF(AND('331-CT'!$E$7=TH!H1949,OR(L1949="331",M1949="331")),"331",IF(AND(OR(L1949="131",M1949="131"),H1949='131-CT'!$E$7),"131",""))</f>
        <v/>
      </c>
      <c r="O1949" s="89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54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249"/>
        <v>3</v>
      </c>
      <c r="C1950" s="37">
        <f t="shared" si="251"/>
        <v>41728</v>
      </c>
      <c r="D1950" s="37" t="s">
        <v>1384</v>
      </c>
      <c r="E1950" s="37">
        <v>41728</v>
      </c>
      <c r="F1950" s="192" t="s">
        <v>476</v>
      </c>
      <c r="G1950" s="468" t="s">
        <v>477</v>
      </c>
      <c r="H1950" s="7" t="s">
        <v>1377</v>
      </c>
      <c r="I1950" s="256">
        <v>400</v>
      </c>
      <c r="J1950" s="256">
        <v>3532.3194590076732</v>
      </c>
      <c r="K1950" s="568">
        <f t="shared" si="250"/>
        <v>1412928</v>
      </c>
      <c r="L1950" s="194" t="s">
        <v>175</v>
      </c>
      <c r="M1950" s="194" t="s">
        <v>169</v>
      </c>
      <c r="N1950" s="52" t="str">
        <f>IF(AND('331-CT'!$E$7=TH!H1950,OR(L1950="331",M1950="331")),"331",IF(AND(OR(L1950="131",M1950="131"),H1950='131-CT'!$E$7),"131",""))</f>
        <v/>
      </c>
      <c r="O1950" s="89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54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249"/>
        <v>3</v>
      </c>
      <c r="C1951" s="37">
        <f t="shared" si="251"/>
        <v>41728</v>
      </c>
      <c r="D1951" s="37" t="s">
        <v>1384</v>
      </c>
      <c r="E1951" s="37">
        <v>41728</v>
      </c>
      <c r="F1951" s="192" t="s">
        <v>479</v>
      </c>
      <c r="G1951" s="468" t="s">
        <v>477</v>
      </c>
      <c r="H1951" s="7" t="s">
        <v>1377</v>
      </c>
      <c r="I1951" s="256">
        <v>600</v>
      </c>
      <c r="J1951" s="256">
        <v>3532.3194590076741</v>
      </c>
      <c r="K1951" s="568">
        <f t="shared" si="250"/>
        <v>2119392</v>
      </c>
      <c r="L1951" s="194" t="s">
        <v>175</v>
      </c>
      <c r="M1951" s="194" t="s">
        <v>169</v>
      </c>
      <c r="N1951" s="52" t="str">
        <f>IF(AND('331-CT'!$E$7=TH!H1951,OR(L1951="331",M1951="331")),"331",IF(AND(OR(L1951="131",M1951="131"),H1951='131-CT'!$E$7),"131",""))</f>
        <v/>
      </c>
      <c r="O1951" s="89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54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249"/>
        <v>3</v>
      </c>
      <c r="C1952" s="37">
        <f t="shared" si="251"/>
        <v>41728</v>
      </c>
      <c r="D1952" s="37" t="s">
        <v>1384</v>
      </c>
      <c r="E1952" s="37">
        <v>41728</v>
      </c>
      <c r="F1952" s="192" t="s">
        <v>480</v>
      </c>
      <c r="G1952" s="468" t="s">
        <v>477</v>
      </c>
      <c r="H1952" s="7" t="s">
        <v>1377</v>
      </c>
      <c r="I1952" s="256">
        <v>400</v>
      </c>
      <c r="J1952" s="256">
        <v>3065.8394590076741</v>
      </c>
      <c r="K1952" s="568">
        <f t="shared" si="250"/>
        <v>1226336</v>
      </c>
      <c r="L1952" s="194" t="s">
        <v>175</v>
      </c>
      <c r="M1952" s="194" t="s">
        <v>169</v>
      </c>
      <c r="N1952" s="52" t="str">
        <f>IF(AND('331-CT'!$E$7=TH!H1952,OR(L1952="331",M1952="331")),"331",IF(AND(OR(L1952="131",M1952="131"),H1952='131-CT'!$E$7),"131",""))</f>
        <v/>
      </c>
      <c r="O1952" s="89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54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249"/>
        <v>3</v>
      </c>
      <c r="C1953" s="37">
        <f t="shared" si="251"/>
        <v>41728</v>
      </c>
      <c r="D1953" s="37" t="s">
        <v>1384</v>
      </c>
      <c r="E1953" s="37">
        <v>41728</v>
      </c>
      <c r="F1953" s="192" t="s">
        <v>481</v>
      </c>
      <c r="G1953" s="468" t="s">
        <v>477</v>
      </c>
      <c r="H1953" s="7" t="s">
        <v>1377</v>
      </c>
      <c r="I1953" s="256">
        <v>50</v>
      </c>
      <c r="J1953" s="256">
        <v>13019.119459007674</v>
      </c>
      <c r="K1953" s="568">
        <f t="shared" si="250"/>
        <v>650956</v>
      </c>
      <c r="L1953" s="194" t="s">
        <v>175</v>
      </c>
      <c r="M1953" s="194" t="s">
        <v>169</v>
      </c>
      <c r="N1953" s="52" t="str">
        <f>IF(AND('331-CT'!$E$7=TH!H1953,OR(L1953="331",M1953="331")),"331",IF(AND(OR(L1953="131",M1953="131"),H1953='131-CT'!$E$7),"131",""))</f>
        <v/>
      </c>
      <c r="O1953" s="89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54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249"/>
        <v>3</v>
      </c>
      <c r="C1954" s="37">
        <f t="shared" si="251"/>
        <v>41728</v>
      </c>
      <c r="D1954" s="37" t="s">
        <v>1384</v>
      </c>
      <c r="E1954" s="37">
        <v>41728</v>
      </c>
      <c r="F1954" s="192" t="s">
        <v>482</v>
      </c>
      <c r="G1954" s="468" t="s">
        <v>483</v>
      </c>
      <c r="H1954" s="7" t="s">
        <v>1377</v>
      </c>
      <c r="I1954" s="256">
        <v>500</v>
      </c>
      <c r="J1954" s="256">
        <v>16600.119459007674</v>
      </c>
      <c r="K1954" s="568">
        <f t="shared" si="250"/>
        <v>8300060</v>
      </c>
      <c r="L1954" s="194" t="s">
        <v>175</v>
      </c>
      <c r="M1954" s="194" t="s">
        <v>169</v>
      </c>
      <c r="N1954" s="52" t="str">
        <f>IF(AND('331-CT'!$E$7=TH!H1954,OR(L1954="331",M1954="331")),"331",IF(AND(OR(L1954="131",M1954="131"),H1954='131-CT'!$E$7),"131",""))</f>
        <v/>
      </c>
      <c r="O1954" s="89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54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249"/>
        <v>3</v>
      </c>
      <c r="C1955" s="37">
        <f t="shared" si="251"/>
        <v>41728</v>
      </c>
      <c r="D1955" s="37" t="s">
        <v>1384</v>
      </c>
      <c r="E1955" s="37">
        <v>41728</v>
      </c>
      <c r="F1955" s="192" t="s">
        <v>446</v>
      </c>
      <c r="G1955" s="468" t="s">
        <v>483</v>
      </c>
      <c r="H1955" s="7" t="s">
        <v>1377</v>
      </c>
      <c r="I1955" s="256">
        <v>1000</v>
      </c>
      <c r="J1955" s="256">
        <v>2993.2394590076738</v>
      </c>
      <c r="K1955" s="568">
        <f t="shared" si="250"/>
        <v>2993239</v>
      </c>
      <c r="L1955" s="194" t="s">
        <v>175</v>
      </c>
      <c r="M1955" s="194" t="s">
        <v>169</v>
      </c>
      <c r="N1955" s="52" t="str">
        <f>IF(AND('331-CT'!$E$7=TH!H1955,OR(L1955="331",M1955="331")),"331",IF(AND(OR(L1955="131",M1955="131"),H1955='131-CT'!$E$7),"131",""))</f>
        <v/>
      </c>
      <c r="O1955" s="89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54"/>
    </row>
    <row r="1956" spans="1:28" s="856" customFormat="1" ht="15.75" customHeight="1">
      <c r="A1956" s="844" t="str">
        <f>IF(B1956&lt;&gt;"",IF(AND(B1956&gt;=_TM1,B1956&lt;=_TM2,OR(TH!L1956="1111",TH!M1956="1111")),TH!D1956,""),"")</f>
        <v/>
      </c>
      <c r="B1956" s="845">
        <f t="shared" si="249"/>
        <v>4</v>
      </c>
      <c r="C1956" s="933">
        <f t="shared" si="251"/>
        <v>41730</v>
      </c>
      <c r="D1956" s="37" t="s">
        <v>1384</v>
      </c>
      <c r="E1956" s="933">
        <v>41730</v>
      </c>
      <c r="F1956" s="857" t="s">
        <v>484</v>
      </c>
      <c r="G1956" s="858" t="s">
        <v>485</v>
      </c>
      <c r="H1956" s="850" t="s">
        <v>1377</v>
      </c>
      <c r="I1956" s="851">
        <v>302</v>
      </c>
      <c r="J1956" s="851">
        <v>12611.745371492716</v>
      </c>
      <c r="K1956" s="852">
        <f t="shared" si="250"/>
        <v>3808747</v>
      </c>
      <c r="L1956" s="934" t="s">
        <v>175</v>
      </c>
      <c r="M1956" s="934" t="s">
        <v>169</v>
      </c>
      <c r="N1956" s="52" t="str">
        <f>IF(AND('331-CT'!$E$7=TH!H1956,OR(L1956="331",M1956="331")),"331",IF(AND(OR(L1956="131",M1956="131"),H1956='131-CT'!$E$7),"131",""))</f>
        <v/>
      </c>
      <c r="O1956" s="89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>632</v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54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249"/>
        <v>4</v>
      </c>
      <c r="C1957" s="37">
        <f t="shared" si="251"/>
        <v>41730</v>
      </c>
      <c r="D1957" s="37" t="s">
        <v>1384</v>
      </c>
      <c r="E1957" s="191">
        <v>41730</v>
      </c>
      <c r="F1957" s="192" t="s">
        <v>486</v>
      </c>
      <c r="G1957" s="468" t="s">
        <v>485</v>
      </c>
      <c r="H1957" s="7" t="s">
        <v>1377</v>
      </c>
      <c r="I1957" s="256">
        <v>300</v>
      </c>
      <c r="J1957" s="256">
        <v>6589.9341132145682</v>
      </c>
      <c r="K1957" s="568">
        <f t="shared" si="250"/>
        <v>1976980</v>
      </c>
      <c r="L1957" s="194" t="s">
        <v>175</v>
      </c>
      <c r="M1957" s="194" t="s">
        <v>169</v>
      </c>
      <c r="N1957" s="52" t="str">
        <f>IF(AND('331-CT'!$E$7=TH!H1957,OR(L1957="331",M1957="331")),"331",IF(AND(OR(L1957="131",M1957="131"),H1957='131-CT'!$E$7),"131",""))</f>
        <v/>
      </c>
      <c r="O1957" s="89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>632</v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54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249"/>
        <v>4</v>
      </c>
      <c r="C1958" s="37">
        <f t="shared" si="251"/>
        <v>41730</v>
      </c>
      <c r="D1958" s="37" t="s">
        <v>1384</v>
      </c>
      <c r="E1958" s="191">
        <v>41730</v>
      </c>
      <c r="F1958" s="192" t="s">
        <v>487</v>
      </c>
      <c r="G1958" s="468" t="s">
        <v>485</v>
      </c>
      <c r="H1958" s="7" t="s">
        <v>1377</v>
      </c>
      <c r="I1958" s="256">
        <v>402</v>
      </c>
      <c r="J1958" s="256">
        <v>9672.7375958016328</v>
      </c>
      <c r="K1958" s="568">
        <f t="shared" si="250"/>
        <v>3888441</v>
      </c>
      <c r="L1958" s="194" t="s">
        <v>175</v>
      </c>
      <c r="M1958" s="194" t="s">
        <v>169</v>
      </c>
      <c r="N1958" s="52" t="str">
        <f>IF(AND('331-CT'!$E$7=TH!H1958,OR(L1958="331",M1958="331")),"331",IF(AND(OR(L1958="131",M1958="131"),H1958='131-CT'!$E$7),"131",""))</f>
        <v/>
      </c>
      <c r="O1958" s="89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>632</v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54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249"/>
        <v>4</v>
      </c>
      <c r="C1959" s="37">
        <f t="shared" si="251"/>
        <v>41730</v>
      </c>
      <c r="D1959" s="37" t="s">
        <v>1384</v>
      </c>
      <c r="E1959" s="191">
        <v>41730</v>
      </c>
      <c r="F1959" s="192" t="s">
        <v>488</v>
      </c>
      <c r="G1959" s="468" t="s">
        <v>485</v>
      </c>
      <c r="H1959" s="7" t="s">
        <v>1377</v>
      </c>
      <c r="I1959" s="256">
        <v>550</v>
      </c>
      <c r="J1959" s="256">
        <v>6743.2522950327502</v>
      </c>
      <c r="K1959" s="568">
        <f t="shared" si="250"/>
        <v>3708789</v>
      </c>
      <c r="L1959" s="194" t="s">
        <v>175</v>
      </c>
      <c r="M1959" s="194" t="s">
        <v>169</v>
      </c>
      <c r="N1959" s="52" t="str">
        <f>IF(AND('331-CT'!$E$7=TH!H1959,OR(L1959="331",M1959="331")),"331",IF(AND(OR(L1959="131",M1959="131"),H1959='131-CT'!$E$7),"131",""))</f>
        <v/>
      </c>
      <c r="O1959" s="89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>632</v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54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249"/>
        <v>4</v>
      </c>
      <c r="C1960" s="37">
        <f t="shared" si="251"/>
        <v>41730</v>
      </c>
      <c r="D1960" s="37" t="s">
        <v>1384</v>
      </c>
      <c r="E1960" s="191">
        <v>41730</v>
      </c>
      <c r="F1960" s="192" t="s">
        <v>489</v>
      </c>
      <c r="G1960" s="468" t="s">
        <v>490</v>
      </c>
      <c r="H1960" s="7" t="s">
        <v>1377</v>
      </c>
      <c r="I1960" s="256">
        <v>260</v>
      </c>
      <c r="J1960" s="256">
        <v>13772.645651676105</v>
      </c>
      <c r="K1960" s="568">
        <f t="shared" si="250"/>
        <v>3580888</v>
      </c>
      <c r="L1960" s="194" t="s">
        <v>175</v>
      </c>
      <c r="M1960" s="194" t="s">
        <v>169</v>
      </c>
      <c r="N1960" s="52" t="str">
        <f>IF(AND('331-CT'!$E$7=TH!H1960,OR(L1960="331",M1960="331")),"331",IF(AND(OR(L1960="131",M1960="131"),H1960='131-CT'!$E$7),"131",""))</f>
        <v/>
      </c>
      <c r="O1960" s="89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54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249"/>
        <v>4</v>
      </c>
      <c r="C1961" s="37">
        <f t="shared" si="251"/>
        <v>41730</v>
      </c>
      <c r="D1961" s="37" t="s">
        <v>1384</v>
      </c>
      <c r="E1961" s="191">
        <v>41730</v>
      </c>
      <c r="F1961" s="192" t="s">
        <v>492</v>
      </c>
      <c r="G1961" s="468" t="s">
        <v>490</v>
      </c>
      <c r="H1961" s="7" t="s">
        <v>1377</v>
      </c>
      <c r="I1961" s="256">
        <v>2100</v>
      </c>
      <c r="J1961" s="256">
        <v>2758.2674465479013</v>
      </c>
      <c r="K1961" s="568">
        <f t="shared" si="250"/>
        <v>5792362</v>
      </c>
      <c r="L1961" s="194" t="s">
        <v>175</v>
      </c>
      <c r="M1961" s="194" t="s">
        <v>169</v>
      </c>
      <c r="N1961" s="52" t="str">
        <f>IF(AND('331-CT'!$E$7=TH!H1961,OR(L1961="331",M1961="331")),"331",IF(AND(OR(L1961="131",M1961="131"),H1961='131-CT'!$E$7),"131",""))</f>
        <v/>
      </c>
      <c r="O1961" s="89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54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249"/>
        <v>4</v>
      </c>
      <c r="C1962" s="37">
        <f t="shared" si="251"/>
        <v>41733</v>
      </c>
      <c r="D1962" s="37" t="s">
        <v>1384</v>
      </c>
      <c r="E1962" s="191">
        <v>41733</v>
      </c>
      <c r="F1962" s="192" t="s">
        <v>493</v>
      </c>
      <c r="G1962" s="468" t="s">
        <v>494</v>
      </c>
      <c r="H1962" s="7" t="s">
        <v>1377</v>
      </c>
      <c r="I1962" s="256">
        <v>325</v>
      </c>
      <c r="J1962" s="256">
        <v>7671.5418055222617</v>
      </c>
      <c r="K1962" s="568">
        <f t="shared" si="250"/>
        <v>2493251</v>
      </c>
      <c r="L1962" s="194" t="s">
        <v>175</v>
      </c>
      <c r="M1962" s="194" t="s">
        <v>169</v>
      </c>
      <c r="N1962" s="52" t="str">
        <f>IF(AND('331-CT'!$E$7=TH!H1962,OR(L1962="331",M1962="331")),"331",IF(AND(OR(L1962="131",M1962="131"),H1962='131-CT'!$E$7),"131",""))</f>
        <v/>
      </c>
      <c r="O1962" s="89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54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249"/>
        <v>4</v>
      </c>
      <c r="C1963" s="37">
        <f t="shared" si="251"/>
        <v>41733</v>
      </c>
      <c r="D1963" s="37" t="s">
        <v>1384</v>
      </c>
      <c r="E1963" s="191">
        <v>41733</v>
      </c>
      <c r="F1963" s="192" t="s">
        <v>495</v>
      </c>
      <c r="G1963" s="468" t="s">
        <v>494</v>
      </c>
      <c r="H1963" s="7" t="s">
        <v>1377</v>
      </c>
      <c r="I1963" s="256">
        <v>577</v>
      </c>
      <c r="J1963" s="256">
        <v>7336.2070768194199</v>
      </c>
      <c r="K1963" s="568">
        <f t="shared" si="250"/>
        <v>4232991</v>
      </c>
      <c r="L1963" s="194" t="s">
        <v>175</v>
      </c>
      <c r="M1963" s="194" t="s">
        <v>169</v>
      </c>
      <c r="N1963" s="52" t="str">
        <f>IF(AND('331-CT'!$E$7=TH!H1963,OR(L1963="331",M1963="331")),"331",IF(AND(OR(L1963="131",M1963="131"),H1963='131-CT'!$E$7),"131",""))</f>
        <v/>
      </c>
      <c r="O1963" s="89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54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249"/>
        <v>4</v>
      </c>
      <c r="C1964" s="37">
        <f t="shared" si="251"/>
        <v>41740</v>
      </c>
      <c r="D1964" s="37" t="s">
        <v>1384</v>
      </c>
      <c r="E1964" s="191">
        <v>41740</v>
      </c>
      <c r="F1964" s="192" t="s">
        <v>437</v>
      </c>
      <c r="G1964" s="468" t="s">
        <v>496</v>
      </c>
      <c r="H1964" s="7" t="s">
        <v>1377</v>
      </c>
      <c r="I1964" s="256">
        <v>720</v>
      </c>
      <c r="J1964" s="256">
        <v>10494.434113214567</v>
      </c>
      <c r="K1964" s="568">
        <f t="shared" si="250"/>
        <v>7555993</v>
      </c>
      <c r="L1964" s="194" t="s">
        <v>175</v>
      </c>
      <c r="M1964" s="194" t="s">
        <v>169</v>
      </c>
      <c r="N1964" s="52" t="str">
        <f>IF(AND('331-CT'!$E$7=TH!H1964,OR(L1964="331",M1964="331")),"331",IF(AND(OR(L1964="131",M1964="131"),H1964='131-CT'!$E$7),"131",""))</f>
        <v/>
      </c>
      <c r="O1964" s="89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54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249"/>
        <v>4</v>
      </c>
      <c r="C1965" s="37">
        <f t="shared" si="251"/>
        <v>41740</v>
      </c>
      <c r="D1965" s="37" t="s">
        <v>1384</v>
      </c>
      <c r="E1965" s="191">
        <v>41740</v>
      </c>
      <c r="F1965" s="192" t="s">
        <v>497</v>
      </c>
      <c r="G1965" s="468" t="s">
        <v>496</v>
      </c>
      <c r="H1965" s="7" t="s">
        <v>1377</v>
      </c>
      <c r="I1965" s="256">
        <v>340</v>
      </c>
      <c r="J1965" s="256">
        <v>8638.4694073322153</v>
      </c>
      <c r="K1965" s="568">
        <f t="shared" si="250"/>
        <v>2937080</v>
      </c>
      <c r="L1965" s="194" t="s">
        <v>175</v>
      </c>
      <c r="M1965" s="194" t="s">
        <v>169</v>
      </c>
      <c r="N1965" s="52" t="str">
        <f>IF(AND('331-CT'!$E$7=TH!H1965,OR(L1965="331",M1965="331")),"331",IF(AND(OR(L1965="131",M1965="131"),H1965='131-CT'!$E$7),"131",""))</f>
        <v/>
      </c>
      <c r="O1965" s="89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54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249"/>
        <v>4</v>
      </c>
      <c r="C1966" s="37">
        <f t="shared" si="251"/>
        <v>41744</v>
      </c>
      <c r="D1966" s="37" t="s">
        <v>1384</v>
      </c>
      <c r="E1966" s="37">
        <v>41744</v>
      </c>
      <c r="F1966" s="296" t="s">
        <v>498</v>
      </c>
      <c r="G1966" s="40" t="s">
        <v>499</v>
      </c>
      <c r="H1966" s="7" t="s">
        <v>1377</v>
      </c>
      <c r="I1966" s="256">
        <v>100</v>
      </c>
      <c r="J1966" s="256">
        <v>8822.4341132145673</v>
      </c>
      <c r="K1966" s="568">
        <f t="shared" si="250"/>
        <v>882243</v>
      </c>
      <c r="L1966" s="194" t="s">
        <v>175</v>
      </c>
      <c r="M1966" s="194" t="s">
        <v>169</v>
      </c>
      <c r="N1966" s="52" t="str">
        <f>IF(AND('331-CT'!$E$7=TH!H1966,OR(L1966="331",M1966="331")),"331",IF(AND(OR(L1966="131",M1966="131"),H1966='131-CT'!$E$7),"131",""))</f>
        <v/>
      </c>
      <c r="O1966" s="89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54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249"/>
        <v>4</v>
      </c>
      <c r="C1967" s="37">
        <f t="shared" si="251"/>
        <v>41746</v>
      </c>
      <c r="D1967" s="37" t="s">
        <v>1384</v>
      </c>
      <c r="E1967" s="37">
        <v>41746</v>
      </c>
      <c r="F1967" s="296" t="s">
        <v>460</v>
      </c>
      <c r="G1967" s="40" t="s">
        <v>500</v>
      </c>
      <c r="H1967" s="7" t="s">
        <v>1377</v>
      </c>
      <c r="I1967" s="256">
        <v>1015</v>
      </c>
      <c r="J1967" s="256">
        <v>8276.4883004066851</v>
      </c>
      <c r="K1967" s="568">
        <f t="shared" si="250"/>
        <v>8400636</v>
      </c>
      <c r="L1967" s="194" t="s">
        <v>175</v>
      </c>
      <c r="M1967" s="194" t="s">
        <v>169</v>
      </c>
      <c r="N1967" s="52" t="str">
        <f>IF(AND('331-CT'!$E$7=TH!H1967,OR(L1967="331",M1967="331")),"331",IF(AND(OR(L1967="131",M1967="131"),H1967='131-CT'!$E$7),"131",""))</f>
        <v/>
      </c>
      <c r="O1967" s="89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54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249"/>
        <v>4</v>
      </c>
      <c r="C1968" s="37">
        <f t="shared" si="251"/>
        <v>41746</v>
      </c>
      <c r="D1968" s="37" t="s">
        <v>1384</v>
      </c>
      <c r="E1968" s="37">
        <v>41746</v>
      </c>
      <c r="F1968" s="296" t="s">
        <v>501</v>
      </c>
      <c r="G1968" s="40" t="s">
        <v>502</v>
      </c>
      <c r="H1968" s="7" t="s">
        <v>1377</v>
      </c>
      <c r="I1968" s="256">
        <v>436</v>
      </c>
      <c r="J1968" s="256">
        <v>5425.5212691778706</v>
      </c>
      <c r="K1968" s="568">
        <f t="shared" si="250"/>
        <v>2365527</v>
      </c>
      <c r="L1968" s="194" t="s">
        <v>175</v>
      </c>
      <c r="M1968" s="194" t="s">
        <v>169</v>
      </c>
      <c r="N1968" s="52" t="str">
        <f>IF(AND('331-CT'!$E$7=TH!H1968,OR(L1968="331",M1968="331")),"331",IF(AND(OR(L1968="131",M1968="131"),H1968='131-CT'!$E$7),"131",""))</f>
        <v/>
      </c>
      <c r="O1968" s="89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54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249"/>
        <v>4</v>
      </c>
      <c r="C1969" s="37">
        <f t="shared" si="251"/>
        <v>41746</v>
      </c>
      <c r="D1969" s="37" t="s">
        <v>1384</v>
      </c>
      <c r="E1969" s="37">
        <v>41746</v>
      </c>
      <c r="F1969" s="296" t="s">
        <v>504</v>
      </c>
      <c r="G1969" s="40" t="s">
        <v>502</v>
      </c>
      <c r="H1969" s="7" t="s">
        <v>1377</v>
      </c>
      <c r="I1969" s="256">
        <v>302</v>
      </c>
      <c r="J1969" s="256">
        <v>4051.5798085788065</v>
      </c>
      <c r="K1969" s="568">
        <f t="shared" si="250"/>
        <v>1223577</v>
      </c>
      <c r="L1969" s="194" t="s">
        <v>175</v>
      </c>
      <c r="M1969" s="194" t="s">
        <v>169</v>
      </c>
      <c r="N1969" s="52" t="str">
        <f>IF(AND('331-CT'!$E$7=TH!H1969,OR(L1969="331",M1969="331")),"331",IF(AND(OR(L1969="131",M1969="131"),H1969='131-CT'!$E$7),"131",""))</f>
        <v/>
      </c>
      <c r="O1969" s="89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54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249"/>
        <v>4</v>
      </c>
      <c r="C1970" s="37">
        <f t="shared" si="251"/>
        <v>41746</v>
      </c>
      <c r="D1970" s="37" t="s">
        <v>1384</v>
      </c>
      <c r="E1970" s="37">
        <v>41746</v>
      </c>
      <c r="F1970" s="296" t="s">
        <v>505</v>
      </c>
      <c r="G1970" s="40" t="s">
        <v>502</v>
      </c>
      <c r="H1970" s="7" t="s">
        <v>1377</v>
      </c>
      <c r="I1970" s="256">
        <v>303</v>
      </c>
      <c r="J1970" s="256">
        <v>6169.0776775710046</v>
      </c>
      <c r="K1970" s="568">
        <f t="shared" si="250"/>
        <v>1869231</v>
      </c>
      <c r="L1970" s="194" t="s">
        <v>175</v>
      </c>
      <c r="M1970" s="194" t="s">
        <v>169</v>
      </c>
      <c r="N1970" s="52" t="str">
        <f>IF(AND('331-CT'!$E$7=TH!H1970,OR(L1970="331",M1970="331")),"331",IF(AND(OR(L1970="131",M1970="131"),H1970='131-CT'!$E$7),"131",""))</f>
        <v/>
      </c>
      <c r="O1970" s="89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54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249"/>
        <v>4</v>
      </c>
      <c r="C1971" s="37">
        <f t="shared" si="251"/>
        <v>41746</v>
      </c>
      <c r="D1971" s="37" t="s">
        <v>1384</v>
      </c>
      <c r="E1971" s="37">
        <v>41746</v>
      </c>
      <c r="F1971" s="296" t="s">
        <v>406</v>
      </c>
      <c r="G1971" s="40" t="s">
        <v>502</v>
      </c>
      <c r="H1971" s="7" t="s">
        <v>1377</v>
      </c>
      <c r="I1971" s="256">
        <v>200</v>
      </c>
      <c r="J1971" s="256">
        <v>6415.4341132145673</v>
      </c>
      <c r="K1971" s="568">
        <f t="shared" si="250"/>
        <v>1283087</v>
      </c>
      <c r="L1971" s="194" t="s">
        <v>175</v>
      </c>
      <c r="M1971" s="194" t="s">
        <v>169</v>
      </c>
      <c r="N1971" s="52" t="str">
        <f>IF(AND('331-CT'!$E$7=TH!H1971,OR(L1971="331",M1971="331")),"331",IF(AND(OR(L1971="131",M1971="131"),H1971='131-CT'!$E$7),"131",""))</f>
        <v/>
      </c>
      <c r="O1971" s="89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54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249"/>
        <v>4</v>
      </c>
      <c r="C1972" s="37">
        <f t="shared" si="251"/>
        <v>41748</v>
      </c>
      <c r="D1972" s="37" t="s">
        <v>1384</v>
      </c>
      <c r="E1972" s="37">
        <v>41748</v>
      </c>
      <c r="F1972" s="296" t="s">
        <v>418</v>
      </c>
      <c r="G1972" s="40" t="s">
        <v>506</v>
      </c>
      <c r="H1972" s="7" t="s">
        <v>1377</v>
      </c>
      <c r="I1972" s="256">
        <v>1856</v>
      </c>
      <c r="J1972" s="256">
        <v>4725.9448890766371</v>
      </c>
      <c r="K1972" s="568">
        <f t="shared" si="250"/>
        <v>8771354</v>
      </c>
      <c r="L1972" s="194" t="s">
        <v>175</v>
      </c>
      <c r="M1972" s="194" t="s">
        <v>169</v>
      </c>
      <c r="N1972" s="52" t="str">
        <f>IF(AND('331-CT'!$E$7=TH!H1972,OR(L1972="331",M1972="331")),"331",IF(AND(OR(L1972="131",M1972="131"),H1972='131-CT'!$E$7),"131",""))</f>
        <v/>
      </c>
      <c r="O1972" s="89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54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249"/>
        <v>4</v>
      </c>
      <c r="C1973" s="37">
        <f t="shared" si="251"/>
        <v>41750</v>
      </c>
      <c r="D1973" s="37" t="s">
        <v>1384</v>
      </c>
      <c r="E1973" s="37">
        <v>41750</v>
      </c>
      <c r="F1973" s="296" t="s">
        <v>422</v>
      </c>
      <c r="G1973" s="40" t="s">
        <v>507</v>
      </c>
      <c r="H1973" s="7" t="s">
        <v>1377</v>
      </c>
      <c r="I1973" s="256">
        <v>500</v>
      </c>
      <c r="J1973" s="256">
        <v>16293.434113214569</v>
      </c>
      <c r="K1973" s="568">
        <f t="shared" si="250"/>
        <v>8146717</v>
      </c>
      <c r="L1973" s="194" t="s">
        <v>175</v>
      </c>
      <c r="M1973" s="194" t="s">
        <v>169</v>
      </c>
      <c r="N1973" s="52" t="str">
        <f>IF(AND('331-CT'!$E$7=TH!H1973,OR(L1973="331",M1973="331")),"331",IF(AND(OR(L1973="131",M1973="131"),H1973='131-CT'!$E$7),"131",""))</f>
        <v/>
      </c>
      <c r="O1973" s="89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54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249"/>
        <v>4</v>
      </c>
      <c r="C1974" s="37">
        <f t="shared" si="251"/>
        <v>41750</v>
      </c>
      <c r="D1974" s="37" t="s">
        <v>1384</v>
      </c>
      <c r="E1974" s="37">
        <v>41750</v>
      </c>
      <c r="F1974" s="192" t="s">
        <v>446</v>
      </c>
      <c r="G1974" s="468" t="s">
        <v>507</v>
      </c>
      <c r="H1974" s="7" t="s">
        <v>1377</v>
      </c>
      <c r="I1974" s="256">
        <v>1000</v>
      </c>
      <c r="J1974" s="256">
        <v>1608.2641132145682</v>
      </c>
      <c r="K1974" s="568">
        <f t="shared" si="250"/>
        <v>1608264</v>
      </c>
      <c r="L1974" s="194" t="s">
        <v>175</v>
      </c>
      <c r="M1974" s="194" t="s">
        <v>169</v>
      </c>
      <c r="N1974" s="52" t="str">
        <f>IF(AND('331-CT'!$E$7=TH!H1974,OR(L1974="331",M1974="331")),"331",IF(AND(OR(L1974="131",M1974="131"),H1974='131-CT'!$E$7),"131",""))</f>
        <v/>
      </c>
      <c r="O1974" s="89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54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249"/>
        <v>4</v>
      </c>
      <c r="C1975" s="37">
        <f t="shared" si="251"/>
        <v>41752</v>
      </c>
      <c r="D1975" s="37" t="s">
        <v>1384</v>
      </c>
      <c r="E1975" s="37">
        <v>41752</v>
      </c>
      <c r="F1975" s="192" t="s">
        <v>424</v>
      </c>
      <c r="G1975" s="468" t="s">
        <v>508</v>
      </c>
      <c r="H1975" s="7" t="s">
        <v>1377</v>
      </c>
      <c r="I1975" s="256">
        <v>500</v>
      </c>
      <c r="J1975" s="256">
        <v>7133.3761132145682</v>
      </c>
      <c r="K1975" s="568">
        <f t="shared" si="250"/>
        <v>3566688</v>
      </c>
      <c r="L1975" s="194" t="s">
        <v>175</v>
      </c>
      <c r="M1975" s="194" t="s">
        <v>169</v>
      </c>
      <c r="N1975" s="52" t="str">
        <f>IF(AND('331-CT'!$E$7=TH!H1975,OR(L1975="331",M1975="331")),"331",IF(AND(OR(L1975="131",M1975="131"),H1975='131-CT'!$E$7),"131",""))</f>
        <v/>
      </c>
      <c r="O1975" s="89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54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249"/>
        <v>4</v>
      </c>
      <c r="C1976" s="37">
        <f t="shared" si="251"/>
        <v>41752</v>
      </c>
      <c r="D1976" s="37" t="s">
        <v>1384</v>
      </c>
      <c r="E1976" s="37">
        <v>41752</v>
      </c>
      <c r="F1976" s="192" t="s">
        <v>424</v>
      </c>
      <c r="G1976" s="468" t="s">
        <v>508</v>
      </c>
      <c r="H1976" s="7" t="s">
        <v>1377</v>
      </c>
      <c r="I1976" s="256">
        <v>504</v>
      </c>
      <c r="J1976" s="256">
        <v>9158.8309386113942</v>
      </c>
      <c r="K1976" s="568">
        <f t="shared" si="250"/>
        <v>4616051</v>
      </c>
      <c r="L1976" s="194" t="s">
        <v>175</v>
      </c>
      <c r="M1976" s="194" t="s">
        <v>169</v>
      </c>
      <c r="N1976" s="52" t="str">
        <f>IF(AND('331-CT'!$E$7=TH!H1976,OR(L1976="331",M1976="331")),"331",IF(AND(OR(L1976="131",M1976="131"),H1976='131-CT'!$E$7),"131",""))</f>
        <v/>
      </c>
      <c r="O1976" s="89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54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249"/>
        <v>4</v>
      </c>
      <c r="C1977" s="37">
        <f t="shared" si="251"/>
        <v>41755</v>
      </c>
      <c r="D1977" s="37" t="s">
        <v>1384</v>
      </c>
      <c r="E1977" s="37">
        <v>41755</v>
      </c>
      <c r="F1977" s="192" t="s">
        <v>509</v>
      </c>
      <c r="G1977" s="468" t="s">
        <v>510</v>
      </c>
      <c r="H1977" s="7" t="s">
        <v>1377</v>
      </c>
      <c r="I1977" s="256">
        <v>305</v>
      </c>
      <c r="J1977" s="256">
        <v>9357.2046050178469</v>
      </c>
      <c r="K1977" s="568">
        <f t="shared" si="250"/>
        <v>2853947</v>
      </c>
      <c r="L1977" s="194" t="s">
        <v>175</v>
      </c>
      <c r="M1977" s="194" t="s">
        <v>169</v>
      </c>
      <c r="N1977" s="52" t="str">
        <f>IF(AND('331-CT'!$E$7=TH!H1977,OR(L1977="331",M1977="331")),"331",IF(AND(OR(L1977="131",M1977="131"),H1977='131-CT'!$E$7),"131",""))</f>
        <v/>
      </c>
      <c r="O1977" s="89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54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249"/>
        <v>4</v>
      </c>
      <c r="C1978" s="37">
        <f t="shared" si="251"/>
        <v>41755</v>
      </c>
      <c r="D1978" s="37" t="s">
        <v>1384</v>
      </c>
      <c r="E1978" s="37">
        <v>41755</v>
      </c>
      <c r="F1978" s="192" t="s">
        <v>495</v>
      </c>
      <c r="G1978" s="468" t="s">
        <v>510</v>
      </c>
      <c r="H1978" s="7" t="s">
        <v>1377</v>
      </c>
      <c r="I1978" s="256">
        <v>530</v>
      </c>
      <c r="J1978" s="256">
        <v>7378.3963773655105</v>
      </c>
      <c r="K1978" s="568">
        <f t="shared" si="250"/>
        <v>3910550</v>
      </c>
      <c r="L1978" s="194" t="s">
        <v>175</v>
      </c>
      <c r="M1978" s="194" t="s">
        <v>169</v>
      </c>
      <c r="N1978" s="52" t="str">
        <f>IF(AND('331-CT'!$E$7=TH!H1978,OR(L1978="331",M1978="331")),"331",IF(AND(OR(L1978="131",M1978="131"),H1978='131-CT'!$E$7),"131",""))</f>
        <v/>
      </c>
      <c r="O1978" s="89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54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ref="B1979:B2042" si="252">IF(C1979&lt;&gt;"",MONTH(C1979),"")</f>
        <v>5</v>
      </c>
      <c r="C1979" s="37">
        <f t="shared" si="251"/>
        <v>41762</v>
      </c>
      <c r="D1979" s="37" t="s">
        <v>1384</v>
      </c>
      <c r="E1979" s="37">
        <v>41762</v>
      </c>
      <c r="F1979" s="192" t="s">
        <v>422</v>
      </c>
      <c r="G1979" s="468" t="s">
        <v>511</v>
      </c>
      <c r="H1979" s="7" t="s">
        <v>1377</v>
      </c>
      <c r="I1979" s="256">
        <v>500</v>
      </c>
      <c r="J1979" s="256">
        <v>16117.434113214569</v>
      </c>
      <c r="K1979" s="568">
        <f t="shared" ref="K1979:K2042" si="253">ROUND(I1979*J1979,0)</f>
        <v>8058717</v>
      </c>
      <c r="L1979" s="194" t="s">
        <v>175</v>
      </c>
      <c r="M1979" s="194" t="s">
        <v>169</v>
      </c>
      <c r="N1979" s="52" t="str">
        <f>IF(AND('331-CT'!$E$7=TH!H1979,OR(L1979="331",M1979="331")),"331",IF(AND(OR(L1979="131",M1979="131"),H1979='131-CT'!$E$7),"131",""))</f>
        <v/>
      </c>
      <c r="O1979" s="89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54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252"/>
        <v>5</v>
      </c>
      <c r="C1980" s="37">
        <f t="shared" ref="C1980:C2043" si="254">E1980</f>
        <v>41762</v>
      </c>
      <c r="D1980" s="37" t="s">
        <v>1384</v>
      </c>
      <c r="E1980" s="37">
        <v>41762</v>
      </c>
      <c r="F1980" s="192" t="s">
        <v>446</v>
      </c>
      <c r="G1980" s="468" t="s">
        <v>511</v>
      </c>
      <c r="H1980" s="7" t="s">
        <v>1377</v>
      </c>
      <c r="I1980" s="256">
        <v>1000</v>
      </c>
      <c r="J1980" s="256">
        <v>2982.0591132145682</v>
      </c>
      <c r="K1980" s="568">
        <f t="shared" si="253"/>
        <v>2982059</v>
      </c>
      <c r="L1980" s="194" t="s">
        <v>175</v>
      </c>
      <c r="M1980" s="194" t="s">
        <v>169</v>
      </c>
      <c r="N1980" s="52" t="str">
        <f>IF(AND('331-CT'!$E$7=TH!H1980,OR(L1980="331",M1980="331")),"331",IF(AND(OR(L1980="131",M1980="131"),H1980='131-CT'!$E$7),"131",""))</f>
        <v/>
      </c>
      <c r="O1980" s="89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54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252"/>
        <v>5</v>
      </c>
      <c r="C1981" s="37">
        <f t="shared" si="254"/>
        <v>41765</v>
      </c>
      <c r="D1981" s="37" t="s">
        <v>1384</v>
      </c>
      <c r="E1981" s="37">
        <v>41765</v>
      </c>
      <c r="F1981" s="192" t="s">
        <v>495</v>
      </c>
      <c r="G1981" s="468" t="s">
        <v>512</v>
      </c>
      <c r="H1981" s="7" t="s">
        <v>1377</v>
      </c>
      <c r="I1981" s="256">
        <v>500</v>
      </c>
      <c r="J1981" s="256">
        <v>7394.7341132145684</v>
      </c>
      <c r="K1981" s="568">
        <f t="shared" si="253"/>
        <v>3697367</v>
      </c>
      <c r="L1981" s="194" t="s">
        <v>175</v>
      </c>
      <c r="M1981" s="194" t="s">
        <v>169</v>
      </c>
      <c r="N1981" s="52" t="str">
        <f>IF(AND('331-CT'!$E$7=TH!H1981,OR(L1981="331",M1981="331")),"331",IF(AND(OR(L1981="131",M1981="131"),H1981='131-CT'!$E$7),"131",""))</f>
        <v/>
      </c>
      <c r="O1981" s="89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54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252"/>
        <v>5</v>
      </c>
      <c r="C1982" s="37">
        <f t="shared" si="254"/>
        <v>41765</v>
      </c>
      <c r="D1982" s="37" t="s">
        <v>1384</v>
      </c>
      <c r="E1982" s="191">
        <v>41765</v>
      </c>
      <c r="F1982" s="192" t="s">
        <v>513</v>
      </c>
      <c r="G1982" s="468" t="s">
        <v>512</v>
      </c>
      <c r="H1982" s="7" t="s">
        <v>1377</v>
      </c>
      <c r="I1982" s="256">
        <v>200</v>
      </c>
      <c r="J1982" s="256">
        <v>6683.9341132145673</v>
      </c>
      <c r="K1982" s="568">
        <f t="shared" si="253"/>
        <v>1336787</v>
      </c>
      <c r="L1982" s="194" t="s">
        <v>175</v>
      </c>
      <c r="M1982" s="194" t="s">
        <v>169</v>
      </c>
      <c r="N1982" s="52" t="str">
        <f>IF(AND('331-CT'!$E$7=TH!H1982,OR(L1982="331",M1982="331")),"331",IF(AND(OR(L1982="131",M1982="131"),H1982='131-CT'!$E$7),"131",""))</f>
        <v/>
      </c>
      <c r="O1982" s="89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54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252"/>
        <v>5</v>
      </c>
      <c r="C1983" s="37">
        <f t="shared" si="254"/>
        <v>41772</v>
      </c>
      <c r="D1983" s="37" t="s">
        <v>1384</v>
      </c>
      <c r="E1983" s="191">
        <v>41772</v>
      </c>
      <c r="F1983" s="192" t="s">
        <v>447</v>
      </c>
      <c r="G1983" s="468" t="s">
        <v>514</v>
      </c>
      <c r="H1983" s="7" t="s">
        <v>1377</v>
      </c>
      <c r="I1983" s="256">
        <v>200</v>
      </c>
      <c r="J1983" s="256">
        <v>19536.434113214567</v>
      </c>
      <c r="K1983" s="568">
        <f t="shared" si="253"/>
        <v>3907287</v>
      </c>
      <c r="L1983" s="194" t="s">
        <v>175</v>
      </c>
      <c r="M1983" s="194" t="s">
        <v>169</v>
      </c>
      <c r="N1983" s="52" t="str">
        <f>IF(AND('331-CT'!$E$7=TH!H1983,OR(L1983="331",M1983="331")),"331",IF(AND(OR(L1983="131",M1983="131"),H1983='131-CT'!$E$7),"131",""))</f>
        <v/>
      </c>
      <c r="O1983" s="89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54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252"/>
        <v>5</v>
      </c>
      <c r="C1984" s="37">
        <f t="shared" si="254"/>
        <v>41774</v>
      </c>
      <c r="D1984" s="37" t="s">
        <v>1384</v>
      </c>
      <c r="E1984" s="191">
        <v>41774</v>
      </c>
      <c r="F1984" s="192" t="s">
        <v>437</v>
      </c>
      <c r="G1984" s="468" t="s">
        <v>515</v>
      </c>
      <c r="H1984" s="7" t="s">
        <v>1377</v>
      </c>
      <c r="I1984" s="256">
        <v>300</v>
      </c>
      <c r="J1984" s="256">
        <v>9829.717446547902</v>
      </c>
      <c r="K1984" s="568">
        <f t="shared" si="253"/>
        <v>2948915</v>
      </c>
      <c r="L1984" s="194" t="s">
        <v>175</v>
      </c>
      <c r="M1984" s="194" t="s">
        <v>169</v>
      </c>
      <c r="N1984" s="52" t="str">
        <f>IF(AND('331-CT'!$E$7=TH!H1984,OR(L1984="331",M1984="331")),"331",IF(AND(OR(L1984="131",M1984="131"),H1984='131-CT'!$E$7),"131",""))</f>
        <v/>
      </c>
      <c r="O1984" s="89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54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252"/>
        <v>5</v>
      </c>
      <c r="C1985" s="37">
        <f t="shared" si="254"/>
        <v>41774</v>
      </c>
      <c r="D1985" s="37" t="s">
        <v>1384</v>
      </c>
      <c r="E1985" s="37">
        <v>41774</v>
      </c>
      <c r="F1985" s="296" t="s">
        <v>516</v>
      </c>
      <c r="G1985" s="40" t="s">
        <v>517</v>
      </c>
      <c r="H1985" s="7" t="s">
        <v>1377</v>
      </c>
      <c r="I1985" s="256">
        <v>987</v>
      </c>
      <c r="J1985" s="256">
        <v>10962.613444521559</v>
      </c>
      <c r="K1985" s="568">
        <f t="shared" si="253"/>
        <v>10820099</v>
      </c>
      <c r="L1985" s="194" t="s">
        <v>175</v>
      </c>
      <c r="M1985" s="194" t="s">
        <v>169</v>
      </c>
      <c r="N1985" s="52" t="str">
        <f>IF(AND('331-CT'!$E$7=TH!H1985,OR(L1985="331",M1985="331")),"331",IF(AND(OR(L1985="131",M1985="131"),H1985='131-CT'!$E$7),"131",""))</f>
        <v/>
      </c>
      <c r="O1985" s="89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54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252"/>
        <v>5</v>
      </c>
      <c r="C1986" s="37">
        <f t="shared" si="254"/>
        <v>41774</v>
      </c>
      <c r="D1986" s="37" t="s">
        <v>1384</v>
      </c>
      <c r="E1986" s="37">
        <v>41774</v>
      </c>
      <c r="F1986" s="296" t="s">
        <v>518</v>
      </c>
      <c r="G1986" s="40" t="s">
        <v>519</v>
      </c>
      <c r="H1986" s="7" t="s">
        <v>1377</v>
      </c>
      <c r="I1986" s="256">
        <v>995</v>
      </c>
      <c r="J1986" s="256">
        <v>10885.192907184417</v>
      </c>
      <c r="K1986" s="568">
        <f t="shared" si="253"/>
        <v>10830767</v>
      </c>
      <c r="L1986" s="194" t="s">
        <v>175</v>
      </c>
      <c r="M1986" s="194" t="s">
        <v>169</v>
      </c>
      <c r="N1986" s="52" t="str">
        <f>IF(AND('331-CT'!$E$7=TH!H1986,OR(L1986="331",M1986="331")),"331",IF(AND(OR(L1986="131",M1986="131"),H1986='131-CT'!$E$7),"131",""))</f>
        <v/>
      </c>
      <c r="O1986" s="89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54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252"/>
        <v>5</v>
      </c>
      <c r="C1987" s="37">
        <f t="shared" si="254"/>
        <v>41774</v>
      </c>
      <c r="D1987" s="37" t="s">
        <v>1384</v>
      </c>
      <c r="E1987" s="37">
        <v>41774</v>
      </c>
      <c r="F1987" s="192" t="s">
        <v>520</v>
      </c>
      <c r="G1987" s="468" t="s">
        <v>519</v>
      </c>
      <c r="H1987" s="7" t="s">
        <v>1377</v>
      </c>
      <c r="I1987" s="256">
        <v>497</v>
      </c>
      <c r="J1987" s="256">
        <v>9661.452221866477</v>
      </c>
      <c r="K1987" s="568">
        <f t="shared" si="253"/>
        <v>4801742</v>
      </c>
      <c r="L1987" s="194" t="s">
        <v>175</v>
      </c>
      <c r="M1987" s="194" t="s">
        <v>169</v>
      </c>
      <c r="N1987" s="52" t="str">
        <f>IF(AND('331-CT'!$E$7=TH!H1987,OR(L1987="331",M1987="331")),"331",IF(AND(OR(L1987="131",M1987="131"),H1987='131-CT'!$E$7),"131",""))</f>
        <v/>
      </c>
      <c r="O1987" s="89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54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252"/>
        <v>5</v>
      </c>
      <c r="C1988" s="37">
        <f t="shared" si="254"/>
        <v>41778</v>
      </c>
      <c r="D1988" s="37" t="s">
        <v>1384</v>
      </c>
      <c r="E1988" s="37">
        <v>41778</v>
      </c>
      <c r="F1988" s="192" t="s">
        <v>484</v>
      </c>
      <c r="G1988" s="468" t="s">
        <v>521</v>
      </c>
      <c r="H1988" s="7" t="s">
        <v>1377</v>
      </c>
      <c r="I1988" s="256">
        <v>205</v>
      </c>
      <c r="J1988" s="256">
        <v>12034.434113214566</v>
      </c>
      <c r="K1988" s="568">
        <f t="shared" si="253"/>
        <v>2467059</v>
      </c>
      <c r="L1988" s="194" t="s">
        <v>175</v>
      </c>
      <c r="M1988" s="194" t="s">
        <v>169</v>
      </c>
      <c r="N1988" s="52" t="str">
        <f>IF(AND('331-CT'!$E$7=TH!H1988,OR(L1988="331",M1988="331")),"331",IF(AND(OR(L1988="131",M1988="131"),H1988='131-CT'!$E$7),"131",""))</f>
        <v/>
      </c>
      <c r="O1988" s="89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54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252"/>
        <v>5</v>
      </c>
      <c r="C1989" s="37">
        <f t="shared" si="254"/>
        <v>41778</v>
      </c>
      <c r="D1989" s="37" t="s">
        <v>1384</v>
      </c>
      <c r="E1989" s="184">
        <v>41778</v>
      </c>
      <c r="F1989" s="189" t="s">
        <v>488</v>
      </c>
      <c r="G1989" s="570" t="s">
        <v>521</v>
      </c>
      <c r="H1989" s="7" t="s">
        <v>1377</v>
      </c>
      <c r="I1989" s="256">
        <v>297</v>
      </c>
      <c r="J1989" s="256">
        <v>5303.8044835849387</v>
      </c>
      <c r="K1989" s="568">
        <f t="shared" si="253"/>
        <v>1575230</v>
      </c>
      <c r="L1989" s="194" t="s">
        <v>175</v>
      </c>
      <c r="M1989" s="194" t="s">
        <v>169</v>
      </c>
      <c r="N1989" s="52" t="str">
        <f>IF(AND('331-CT'!$E$7=TH!H1989,OR(L1989="331",M1989="331")),"331",IF(AND(OR(L1989="131",M1989="131"),H1989='131-CT'!$E$7),"131",""))</f>
        <v/>
      </c>
      <c r="O1989" s="89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54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252"/>
        <v>5</v>
      </c>
      <c r="C1990" s="37">
        <f t="shared" si="254"/>
        <v>41778</v>
      </c>
      <c r="D1990" s="37" t="s">
        <v>1384</v>
      </c>
      <c r="E1990" s="184">
        <v>41778</v>
      </c>
      <c r="F1990" s="189" t="s">
        <v>487</v>
      </c>
      <c r="G1990" s="570" t="s">
        <v>521</v>
      </c>
      <c r="H1990" s="7" t="s">
        <v>1377</v>
      </c>
      <c r="I1990" s="256">
        <v>374</v>
      </c>
      <c r="J1990" s="256">
        <v>9083.9688725728556</v>
      </c>
      <c r="K1990" s="568">
        <f t="shared" si="253"/>
        <v>3397404</v>
      </c>
      <c r="L1990" s="194" t="s">
        <v>175</v>
      </c>
      <c r="M1990" s="194" t="s">
        <v>169</v>
      </c>
      <c r="N1990" s="52" t="str">
        <f>IF(AND('331-CT'!$E$7=TH!H1990,OR(L1990="331",M1990="331")),"331",IF(AND(OR(L1990="131",M1990="131"),H1990='131-CT'!$E$7),"131",""))</f>
        <v/>
      </c>
      <c r="O1990" s="89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54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252"/>
        <v>5</v>
      </c>
      <c r="C1991" s="37">
        <f t="shared" si="254"/>
        <v>41778</v>
      </c>
      <c r="D1991" s="37" t="s">
        <v>1384</v>
      </c>
      <c r="E1991" s="191">
        <v>41778</v>
      </c>
      <c r="F1991" s="192" t="s">
        <v>495</v>
      </c>
      <c r="G1991" s="468" t="s">
        <v>521</v>
      </c>
      <c r="H1991" s="7" t="s">
        <v>1377</v>
      </c>
      <c r="I1991" s="256">
        <v>399</v>
      </c>
      <c r="J1991" s="256">
        <v>8595.7499026882524</v>
      </c>
      <c r="K1991" s="568">
        <f t="shared" si="253"/>
        <v>3429704</v>
      </c>
      <c r="L1991" s="194" t="s">
        <v>175</v>
      </c>
      <c r="M1991" s="194" t="s">
        <v>169</v>
      </c>
      <c r="N1991" s="52" t="str">
        <f>IF(AND('331-CT'!$E$7=TH!H1991,OR(L1991="331",M1991="331")),"331",IF(AND(OR(L1991="131",M1991="131"),H1991='131-CT'!$E$7),"131",""))</f>
        <v/>
      </c>
      <c r="O1991" s="89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54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252"/>
        <v>5</v>
      </c>
      <c r="C1992" s="37">
        <f t="shared" si="254"/>
        <v>41779</v>
      </c>
      <c r="D1992" s="37" t="s">
        <v>1384</v>
      </c>
      <c r="E1992" s="191">
        <v>41779</v>
      </c>
      <c r="F1992" s="192" t="s">
        <v>522</v>
      </c>
      <c r="G1992" s="468" t="s">
        <v>523</v>
      </c>
      <c r="H1992" s="7" t="s">
        <v>1377</v>
      </c>
      <c r="I1992" s="256">
        <v>150</v>
      </c>
      <c r="J1992" s="256">
        <v>5271.4341132145682</v>
      </c>
      <c r="K1992" s="568">
        <f t="shared" si="253"/>
        <v>790715</v>
      </c>
      <c r="L1992" s="194" t="s">
        <v>175</v>
      </c>
      <c r="M1992" s="194" t="s">
        <v>169</v>
      </c>
      <c r="N1992" s="52" t="str">
        <f>IF(AND('331-CT'!$E$7=TH!H1992,OR(L1992="331",M1992="331")),"331",IF(AND(OR(L1992="131",M1992="131"),H1992='131-CT'!$E$7),"131",""))</f>
        <v/>
      </c>
      <c r="O1992" s="89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54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252"/>
        <v>5</v>
      </c>
      <c r="C1993" s="37">
        <f t="shared" si="254"/>
        <v>41779</v>
      </c>
      <c r="D1993" s="37" t="s">
        <v>1384</v>
      </c>
      <c r="E1993" s="191">
        <v>41779</v>
      </c>
      <c r="F1993" s="189" t="s">
        <v>524</v>
      </c>
      <c r="G1993" s="570" t="s">
        <v>523</v>
      </c>
      <c r="H1993" s="7" t="s">
        <v>1377</v>
      </c>
      <c r="I1993" s="256">
        <v>1250</v>
      </c>
      <c r="J1993" s="256">
        <v>4743.8341132145679</v>
      </c>
      <c r="K1993" s="568">
        <f t="shared" si="253"/>
        <v>5929793</v>
      </c>
      <c r="L1993" s="194" t="s">
        <v>175</v>
      </c>
      <c r="M1993" s="194" t="s">
        <v>169</v>
      </c>
      <c r="N1993" s="52" t="str">
        <f>IF(AND('331-CT'!$E$7=TH!H1993,OR(L1993="331",M1993="331")),"331",IF(AND(OR(L1993="131",M1993="131"),H1993='131-CT'!$E$7),"131",""))</f>
        <v/>
      </c>
      <c r="O1993" s="89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54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252"/>
        <v>5</v>
      </c>
      <c r="C1994" s="37">
        <f t="shared" si="254"/>
        <v>41780</v>
      </c>
      <c r="D1994" s="37" t="s">
        <v>1384</v>
      </c>
      <c r="E1994" s="191">
        <v>41780</v>
      </c>
      <c r="F1994" s="189" t="s">
        <v>525</v>
      </c>
      <c r="G1994" s="570" t="s">
        <v>526</v>
      </c>
      <c r="H1994" s="7" t="s">
        <v>1377</v>
      </c>
      <c r="I1994" s="256">
        <v>1200</v>
      </c>
      <c r="J1994" s="256">
        <v>1577.7274465479013</v>
      </c>
      <c r="K1994" s="568">
        <f t="shared" si="253"/>
        <v>1893273</v>
      </c>
      <c r="L1994" s="194" t="s">
        <v>175</v>
      </c>
      <c r="M1994" s="194" t="s">
        <v>169</v>
      </c>
      <c r="N1994" s="52" t="str">
        <f>IF(AND('331-CT'!$E$7=TH!H1994,OR(L1994="331",M1994="331")),"331",IF(AND(OR(L1994="131",M1994="131"),H1994='131-CT'!$E$7),"131",""))</f>
        <v/>
      </c>
      <c r="O1994" s="89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54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252"/>
        <v>5</v>
      </c>
      <c r="C1995" s="37">
        <f t="shared" si="254"/>
        <v>41780</v>
      </c>
      <c r="D1995" s="37" t="s">
        <v>1384</v>
      </c>
      <c r="E1995" s="191">
        <v>41780</v>
      </c>
      <c r="F1995" s="189" t="s">
        <v>467</v>
      </c>
      <c r="G1995" s="570" t="s">
        <v>527</v>
      </c>
      <c r="H1995" s="7" t="s">
        <v>1377</v>
      </c>
      <c r="I1995" s="256">
        <v>1305</v>
      </c>
      <c r="J1995" s="256">
        <v>4986.9973316053729</v>
      </c>
      <c r="K1995" s="568">
        <f t="shared" si="253"/>
        <v>6508032</v>
      </c>
      <c r="L1995" s="194" t="s">
        <v>175</v>
      </c>
      <c r="M1995" s="194" t="s">
        <v>169</v>
      </c>
      <c r="N1995" s="52" t="str">
        <f>IF(AND('331-CT'!$E$7=TH!H1995,OR(L1995="331",M1995="331")),"331",IF(AND(OR(L1995="131",M1995="131"),H1995='131-CT'!$E$7),"131",""))</f>
        <v/>
      </c>
      <c r="O1995" s="89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54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252"/>
        <v>5</v>
      </c>
      <c r="C1996" s="37">
        <f t="shared" si="254"/>
        <v>41781</v>
      </c>
      <c r="D1996" s="37" t="s">
        <v>1384</v>
      </c>
      <c r="E1996" s="191">
        <v>41781</v>
      </c>
      <c r="F1996" s="189" t="s">
        <v>528</v>
      </c>
      <c r="G1996" s="468" t="s">
        <v>529</v>
      </c>
      <c r="H1996" s="7" t="s">
        <v>1377</v>
      </c>
      <c r="I1996" s="256">
        <v>497</v>
      </c>
      <c r="J1996" s="256">
        <v>16401.844575991225</v>
      </c>
      <c r="K1996" s="568">
        <f t="shared" si="253"/>
        <v>8151717</v>
      </c>
      <c r="L1996" s="194" t="s">
        <v>175</v>
      </c>
      <c r="M1996" s="194" t="s">
        <v>169</v>
      </c>
      <c r="N1996" s="52" t="str">
        <f>IF(AND('331-CT'!$E$7=TH!H1996,OR(L1996="331",M1996="331")),"331",IF(AND(OR(L1996="131",M1996="131"),H1996='131-CT'!$E$7),"131",""))</f>
        <v/>
      </c>
      <c r="O1996" s="89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54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252"/>
        <v>5</v>
      </c>
      <c r="C1997" s="37">
        <f t="shared" si="254"/>
        <v>41786</v>
      </c>
      <c r="D1997" s="37" t="s">
        <v>1384</v>
      </c>
      <c r="E1997" s="191">
        <v>41786</v>
      </c>
      <c r="F1997" s="189" t="s">
        <v>464</v>
      </c>
      <c r="G1997" s="468" t="s">
        <v>530</v>
      </c>
      <c r="H1997" s="7" t="s">
        <v>1377</v>
      </c>
      <c r="I1997" s="256">
        <v>998</v>
      </c>
      <c r="J1997" s="256">
        <v>11584.937119226593</v>
      </c>
      <c r="K1997" s="568">
        <f t="shared" si="253"/>
        <v>11561767</v>
      </c>
      <c r="L1997" s="194" t="s">
        <v>175</v>
      </c>
      <c r="M1997" s="194" t="s">
        <v>169</v>
      </c>
      <c r="N1997" s="52" t="str">
        <f>IF(AND('331-CT'!$E$7=TH!H1997,OR(L1997="331",M1997="331")),"331",IF(AND(OR(L1997="131",M1997="131"),H1997='131-CT'!$E$7),"131",""))</f>
        <v/>
      </c>
      <c r="O1997" s="89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54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252"/>
        <v>5</v>
      </c>
      <c r="C1998" s="37">
        <f t="shared" si="254"/>
        <v>41788</v>
      </c>
      <c r="D1998" s="37" t="s">
        <v>1384</v>
      </c>
      <c r="E1998" s="191">
        <v>41788</v>
      </c>
      <c r="F1998" s="192" t="s">
        <v>437</v>
      </c>
      <c r="G1998" s="468" t="s">
        <v>531</v>
      </c>
      <c r="H1998" s="7" t="s">
        <v>1377</v>
      </c>
      <c r="I1998" s="256">
        <v>496</v>
      </c>
      <c r="J1998" s="256">
        <v>9623.2526616016639</v>
      </c>
      <c r="K1998" s="568">
        <f t="shared" si="253"/>
        <v>4773133</v>
      </c>
      <c r="L1998" s="194" t="s">
        <v>175</v>
      </c>
      <c r="M1998" s="194" t="s">
        <v>169</v>
      </c>
      <c r="N1998" s="52" t="str">
        <f>IF(AND('331-CT'!$E$7=TH!H1998,OR(L1998="331",M1998="331")),"331",IF(AND(OR(L1998="131",M1998="131"),H1998='131-CT'!$E$7),"131",""))</f>
        <v/>
      </c>
      <c r="O1998" s="89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54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252"/>
        <v>5</v>
      </c>
      <c r="C1999" s="37">
        <f t="shared" si="254"/>
        <v>41788</v>
      </c>
      <c r="D1999" s="37" t="s">
        <v>1384</v>
      </c>
      <c r="E1999" s="730">
        <v>41788</v>
      </c>
      <c r="F1999" s="443" t="s">
        <v>509</v>
      </c>
      <c r="G1999" s="40" t="s">
        <v>532</v>
      </c>
      <c r="H1999" s="7" t="s">
        <v>1377</v>
      </c>
      <c r="I1999" s="256">
        <v>304</v>
      </c>
      <c r="J1999" s="256">
        <v>9048.8946395303574</v>
      </c>
      <c r="K1999" s="568">
        <f t="shared" si="253"/>
        <v>2750864</v>
      </c>
      <c r="L1999" s="194" t="s">
        <v>175</v>
      </c>
      <c r="M1999" s="194" t="s">
        <v>169</v>
      </c>
      <c r="N1999" s="52" t="str">
        <f>IF(AND('331-CT'!$E$7=TH!H1999,OR(L1999="331",M1999="331")),"331",IF(AND(OR(L1999="131",M1999="131"),H1999='131-CT'!$E$7),"131",""))</f>
        <v/>
      </c>
      <c r="O1999" s="89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54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252"/>
        <v>5</v>
      </c>
      <c r="C2000" s="37">
        <f t="shared" si="254"/>
        <v>41788</v>
      </c>
      <c r="D2000" s="37" t="s">
        <v>1384</v>
      </c>
      <c r="E2000" s="191">
        <v>41788</v>
      </c>
      <c r="F2000" s="192" t="s">
        <v>533</v>
      </c>
      <c r="G2000" s="468" t="s">
        <v>532</v>
      </c>
      <c r="H2000" s="7" t="s">
        <v>1377</v>
      </c>
      <c r="I2000" s="256">
        <v>154</v>
      </c>
      <c r="J2000" s="256">
        <v>11562.005541785997</v>
      </c>
      <c r="K2000" s="568">
        <f t="shared" si="253"/>
        <v>1780549</v>
      </c>
      <c r="L2000" s="194" t="s">
        <v>175</v>
      </c>
      <c r="M2000" s="194" t="s">
        <v>169</v>
      </c>
      <c r="N2000" s="52" t="str">
        <f>IF(AND('331-CT'!$E$7=TH!H2000,OR(L2000="331",M2000="331")),"331",IF(AND(OR(L2000="131",M2000="131"),H2000='131-CT'!$E$7),"131",""))</f>
        <v/>
      </c>
      <c r="O2000" s="89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54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252"/>
        <v>5</v>
      </c>
      <c r="C2001" s="37">
        <f t="shared" si="254"/>
        <v>41788</v>
      </c>
      <c r="D2001" s="37" t="s">
        <v>1384</v>
      </c>
      <c r="E2001" s="191">
        <v>41788</v>
      </c>
      <c r="F2001" s="192" t="s">
        <v>495</v>
      </c>
      <c r="G2001" s="468" t="s">
        <v>532</v>
      </c>
      <c r="H2001" s="7" t="s">
        <v>1377</v>
      </c>
      <c r="I2001" s="256">
        <v>500</v>
      </c>
      <c r="J2001" s="256">
        <v>7342.2341132145684</v>
      </c>
      <c r="K2001" s="568">
        <f t="shared" si="253"/>
        <v>3671117</v>
      </c>
      <c r="L2001" s="194" t="s">
        <v>175</v>
      </c>
      <c r="M2001" s="194" t="s">
        <v>169</v>
      </c>
      <c r="N2001" s="52" t="str">
        <f>IF(AND('331-CT'!$E$7=TH!H2001,OR(L2001="331",M2001="331")),"331",IF(AND(OR(L2001="131",M2001="131"),H2001='131-CT'!$E$7),"131",""))</f>
        <v/>
      </c>
      <c r="O2001" s="89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54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252"/>
        <v>5</v>
      </c>
      <c r="C2002" s="37">
        <f t="shared" si="254"/>
        <v>41788</v>
      </c>
      <c r="D2002" s="37" t="s">
        <v>1384</v>
      </c>
      <c r="E2002" s="191">
        <v>41788</v>
      </c>
      <c r="F2002" s="192" t="s">
        <v>534</v>
      </c>
      <c r="G2002" s="468" t="s">
        <v>535</v>
      </c>
      <c r="H2002" s="7" t="s">
        <v>1377</v>
      </c>
      <c r="I2002" s="256">
        <v>209</v>
      </c>
      <c r="J2002" s="256">
        <v>7190.3719122576304</v>
      </c>
      <c r="K2002" s="568">
        <f t="shared" si="253"/>
        <v>1502788</v>
      </c>
      <c r="L2002" s="194" t="s">
        <v>175</v>
      </c>
      <c r="M2002" s="194" t="s">
        <v>169</v>
      </c>
      <c r="N2002" s="52" t="str">
        <f>IF(AND('331-CT'!$E$7=TH!H2002,OR(L2002="331",M2002="331")),"331",IF(AND(OR(L2002="131",M2002="131"),H2002='131-CT'!$E$7),"131",""))</f>
        <v/>
      </c>
      <c r="O2002" s="89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632</v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54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252"/>
        <v>5</v>
      </c>
      <c r="C2003" s="37">
        <f t="shared" si="254"/>
        <v>41789</v>
      </c>
      <c r="D2003" s="37" t="s">
        <v>1384</v>
      </c>
      <c r="E2003" s="191">
        <v>41789</v>
      </c>
      <c r="F2003" s="192" t="s">
        <v>418</v>
      </c>
      <c r="G2003" s="468" t="s">
        <v>537</v>
      </c>
      <c r="H2003" s="7" t="s">
        <v>1377</v>
      </c>
      <c r="I2003" s="256">
        <v>1983</v>
      </c>
      <c r="J2003" s="256">
        <v>5668.1996200224357</v>
      </c>
      <c r="K2003" s="568">
        <f t="shared" si="253"/>
        <v>11240040</v>
      </c>
      <c r="L2003" s="194" t="s">
        <v>175</v>
      </c>
      <c r="M2003" s="194" t="s">
        <v>169</v>
      </c>
      <c r="N2003" s="52" t="str">
        <f>IF(AND('331-CT'!$E$7=TH!H2003,OR(L2003="331",M2003="331")),"331",IF(AND(OR(L2003="131",M2003="131"),H2003='131-CT'!$E$7),"131",""))</f>
        <v/>
      </c>
      <c r="O2003" s="89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632</v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54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252"/>
        <v>5</v>
      </c>
      <c r="C2004" s="37">
        <f t="shared" si="254"/>
        <v>41789</v>
      </c>
      <c r="D2004" s="37" t="s">
        <v>1384</v>
      </c>
      <c r="E2004" s="730">
        <v>41789</v>
      </c>
      <c r="F2004" s="189" t="s">
        <v>538</v>
      </c>
      <c r="G2004" s="40" t="s">
        <v>539</v>
      </c>
      <c r="H2004" s="7" t="s">
        <v>1377</v>
      </c>
      <c r="I2004" s="256">
        <v>548</v>
      </c>
      <c r="J2004" s="256">
        <v>12034.434113214567</v>
      </c>
      <c r="K2004" s="568">
        <f t="shared" si="253"/>
        <v>6594870</v>
      </c>
      <c r="L2004" s="194" t="s">
        <v>175</v>
      </c>
      <c r="M2004" s="194" t="s">
        <v>169</v>
      </c>
      <c r="N2004" s="52" t="str">
        <f>IF(AND('331-CT'!$E$7=TH!H2004,OR(L2004="331",M2004="331")),"331",IF(AND(OR(L2004="131",M2004="131"),H2004='131-CT'!$E$7),"131",""))</f>
        <v/>
      </c>
      <c r="O2004" s="89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632</v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54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252"/>
        <v>6</v>
      </c>
      <c r="C2005" s="37">
        <f t="shared" si="254"/>
        <v>41792</v>
      </c>
      <c r="D2005" s="37" t="s">
        <v>1384</v>
      </c>
      <c r="E2005" s="730">
        <v>41792</v>
      </c>
      <c r="F2005" s="40" t="s">
        <v>422</v>
      </c>
      <c r="G2005" s="40" t="s">
        <v>540</v>
      </c>
      <c r="H2005" s="7" t="s">
        <v>1377</v>
      </c>
      <c r="I2005" s="256">
        <v>1000</v>
      </c>
      <c r="J2005" s="256">
        <v>16949.434113214567</v>
      </c>
      <c r="K2005" s="568">
        <f t="shared" si="253"/>
        <v>16949434</v>
      </c>
      <c r="L2005" s="194" t="s">
        <v>175</v>
      </c>
      <c r="M2005" s="194" t="s">
        <v>169</v>
      </c>
      <c r="N2005" s="52" t="str">
        <f>IF(AND('331-CT'!$E$7=TH!H2005,OR(L2005="331",M2005="331")),"331",IF(AND(OR(L2005="131",M2005="131"),H2005='131-CT'!$E$7),"131",""))</f>
        <v/>
      </c>
      <c r="O2005" s="89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632</v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54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252"/>
        <v>6</v>
      </c>
      <c r="C2006" s="37">
        <f t="shared" si="254"/>
        <v>41792</v>
      </c>
      <c r="D2006" s="37" t="s">
        <v>1384</v>
      </c>
      <c r="E2006" s="730">
        <v>41792</v>
      </c>
      <c r="F2006" s="189" t="s">
        <v>541</v>
      </c>
      <c r="G2006" s="40" t="s">
        <v>542</v>
      </c>
      <c r="H2006" s="7" t="s">
        <v>1377</v>
      </c>
      <c r="I2006" s="256">
        <v>910</v>
      </c>
      <c r="J2006" s="256">
        <v>5484.9725747530301</v>
      </c>
      <c r="K2006" s="568">
        <f t="shared" si="253"/>
        <v>4991325</v>
      </c>
      <c r="L2006" s="194" t="s">
        <v>175</v>
      </c>
      <c r="M2006" s="194" t="s">
        <v>169</v>
      </c>
      <c r="N2006" s="52" t="str">
        <f>IF(AND('331-CT'!$E$7=TH!H2006,OR(L2006="331",M2006="331")),"331",IF(AND(OR(L2006="131",M2006="131"),H2006='131-CT'!$E$7),"131",""))</f>
        <v/>
      </c>
      <c r="O2006" s="89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632</v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54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252"/>
        <v>6</v>
      </c>
      <c r="C2007" s="37">
        <f t="shared" si="254"/>
        <v>41792</v>
      </c>
      <c r="D2007" s="37" t="s">
        <v>1384</v>
      </c>
      <c r="E2007" s="730">
        <v>41792</v>
      </c>
      <c r="F2007" s="189" t="s">
        <v>446</v>
      </c>
      <c r="G2007" s="40" t="s">
        <v>543</v>
      </c>
      <c r="H2007" s="7" t="s">
        <v>1377</v>
      </c>
      <c r="I2007" s="256">
        <v>2000</v>
      </c>
      <c r="J2007" s="256">
        <v>1516.6541132145683</v>
      </c>
      <c r="K2007" s="568">
        <f t="shared" si="253"/>
        <v>3033308</v>
      </c>
      <c r="L2007" s="194" t="s">
        <v>175</v>
      </c>
      <c r="M2007" s="194" t="s">
        <v>169</v>
      </c>
      <c r="N2007" s="52" t="str">
        <f>IF(AND('331-CT'!$E$7=TH!H2007,OR(L2007="331",M2007="331")),"331",IF(AND(OR(L2007="131",M2007="131"),H2007='131-CT'!$E$7),"131",""))</f>
        <v/>
      </c>
      <c r="O2007" s="89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632</v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54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252"/>
        <v>6</v>
      </c>
      <c r="C2008" s="37">
        <f t="shared" si="254"/>
        <v>41794</v>
      </c>
      <c r="D2008" s="37" t="s">
        <v>1384</v>
      </c>
      <c r="E2008" s="730">
        <v>41794</v>
      </c>
      <c r="F2008" s="189" t="s">
        <v>501</v>
      </c>
      <c r="G2008" s="40" t="s">
        <v>544</v>
      </c>
      <c r="H2008" s="7" t="s">
        <v>1377</v>
      </c>
      <c r="I2008" s="256">
        <v>500</v>
      </c>
      <c r="J2008" s="256">
        <v>6018.2341132145684</v>
      </c>
      <c r="K2008" s="568">
        <f t="shared" si="253"/>
        <v>3009117</v>
      </c>
      <c r="L2008" s="194" t="s">
        <v>175</v>
      </c>
      <c r="M2008" s="194" t="s">
        <v>169</v>
      </c>
      <c r="N2008" s="52" t="str">
        <f>IF(AND('331-CT'!$E$7=TH!H2008,OR(L2008="331",M2008="331")),"331",IF(AND(OR(L2008="131",M2008="131"),H2008='131-CT'!$E$7),"131",""))</f>
        <v/>
      </c>
      <c r="O2008" s="89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632</v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54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252"/>
        <v>6</v>
      </c>
      <c r="C2009" s="37">
        <f t="shared" si="254"/>
        <v>41794</v>
      </c>
      <c r="D2009" s="37" t="s">
        <v>1384</v>
      </c>
      <c r="E2009" s="730">
        <v>41794</v>
      </c>
      <c r="F2009" s="40" t="s">
        <v>504</v>
      </c>
      <c r="G2009" s="40" t="s">
        <v>544</v>
      </c>
      <c r="H2009" s="7" t="s">
        <v>1377</v>
      </c>
      <c r="I2009" s="256">
        <v>397</v>
      </c>
      <c r="J2009" s="256">
        <v>7677.5147177485724</v>
      </c>
      <c r="K2009" s="568">
        <f t="shared" si="253"/>
        <v>3047973</v>
      </c>
      <c r="L2009" s="194" t="s">
        <v>175</v>
      </c>
      <c r="M2009" s="194" t="s">
        <v>169</v>
      </c>
      <c r="N2009" s="52" t="str">
        <f>IF(AND('331-CT'!$E$7=TH!H2009,OR(L2009="331",M2009="331")),"331",IF(AND(OR(L2009="131",M2009="131"),H2009='131-CT'!$E$7),"131",""))</f>
        <v/>
      </c>
      <c r="O2009" s="89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632</v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54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252"/>
        <v>6</v>
      </c>
      <c r="C2010" s="37">
        <f t="shared" si="254"/>
        <v>41794</v>
      </c>
      <c r="D2010" s="37" t="s">
        <v>1384</v>
      </c>
      <c r="E2010" s="730">
        <v>41794</v>
      </c>
      <c r="F2010" s="40" t="s">
        <v>505</v>
      </c>
      <c r="G2010" s="40" t="s">
        <v>544</v>
      </c>
      <c r="H2010" s="7" t="s">
        <v>1377</v>
      </c>
      <c r="I2010" s="256">
        <v>200</v>
      </c>
      <c r="J2010" s="256">
        <v>6217.4341132145673</v>
      </c>
      <c r="K2010" s="568">
        <f t="shared" si="253"/>
        <v>1243487</v>
      </c>
      <c r="L2010" s="194" t="s">
        <v>175</v>
      </c>
      <c r="M2010" s="194" t="s">
        <v>169</v>
      </c>
      <c r="N2010" s="52" t="str">
        <f>IF(AND('331-CT'!$E$7=TH!H2010,OR(L2010="331",M2010="331")),"331",IF(AND(OR(L2010="131",M2010="131"),H2010='131-CT'!$E$7),"131",""))</f>
        <v/>
      </c>
      <c r="O2010" s="89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632</v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54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252"/>
        <v>6</v>
      </c>
      <c r="C2011" s="37">
        <f t="shared" si="254"/>
        <v>41794</v>
      </c>
      <c r="D2011" s="37" t="s">
        <v>1384</v>
      </c>
      <c r="E2011" s="730">
        <v>41794</v>
      </c>
      <c r="F2011" s="189" t="s">
        <v>406</v>
      </c>
      <c r="G2011" s="40" t="s">
        <v>544</v>
      </c>
      <c r="H2011" s="7" t="s">
        <v>1377</v>
      </c>
      <c r="I2011" s="256">
        <v>200</v>
      </c>
      <c r="J2011" s="256">
        <v>6415.4341132145673</v>
      </c>
      <c r="K2011" s="568">
        <f t="shared" si="253"/>
        <v>1283087</v>
      </c>
      <c r="L2011" s="194" t="s">
        <v>175</v>
      </c>
      <c r="M2011" s="194" t="s">
        <v>169</v>
      </c>
      <c r="N2011" s="52" t="str">
        <f>IF(AND('331-CT'!$E$7=TH!H2011,OR(L2011="331",M2011="331")),"331",IF(AND(OR(L2011="131",M2011="131"),H2011='131-CT'!$E$7),"131",""))</f>
        <v/>
      </c>
      <c r="O2011" s="89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632</v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54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252"/>
        <v>6</v>
      </c>
      <c r="C2012" s="37">
        <f t="shared" si="254"/>
        <v>41795</v>
      </c>
      <c r="D2012" s="37" t="s">
        <v>1384</v>
      </c>
      <c r="E2012" s="730">
        <v>41795</v>
      </c>
      <c r="F2012" s="40" t="s">
        <v>545</v>
      </c>
      <c r="G2012" s="40" t="s">
        <v>546</v>
      </c>
      <c r="H2012" s="7" t="s">
        <v>1377</v>
      </c>
      <c r="I2012" s="256">
        <v>190</v>
      </c>
      <c r="J2012" s="256">
        <v>22154.434113214567</v>
      </c>
      <c r="K2012" s="568">
        <f t="shared" si="253"/>
        <v>4209342</v>
      </c>
      <c r="L2012" s="194" t="s">
        <v>175</v>
      </c>
      <c r="M2012" s="194" t="s">
        <v>169</v>
      </c>
      <c r="N2012" s="52" t="str">
        <f>IF(AND('331-CT'!$E$7=TH!H2012,OR(L2012="331",M2012="331")),"331",IF(AND(OR(L2012="131",M2012="131"),H2012='131-CT'!$E$7),"131",""))</f>
        <v/>
      </c>
      <c r="O2012" s="89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632</v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54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252"/>
        <v>6</v>
      </c>
      <c r="C2013" s="37">
        <f t="shared" si="254"/>
        <v>41795</v>
      </c>
      <c r="D2013" s="37" t="s">
        <v>1384</v>
      </c>
      <c r="E2013" s="730">
        <v>41795</v>
      </c>
      <c r="F2013" s="192" t="s">
        <v>548</v>
      </c>
      <c r="G2013" s="468" t="s">
        <v>546</v>
      </c>
      <c r="H2013" s="7" t="s">
        <v>1377</v>
      </c>
      <c r="I2013" s="256">
        <v>190</v>
      </c>
      <c r="J2013" s="256">
        <v>25510.276218477724</v>
      </c>
      <c r="K2013" s="568">
        <f t="shared" si="253"/>
        <v>4846952</v>
      </c>
      <c r="L2013" s="194" t="s">
        <v>175</v>
      </c>
      <c r="M2013" s="194" t="s">
        <v>169</v>
      </c>
      <c r="N2013" s="52" t="str">
        <f>IF(AND('331-CT'!$E$7=TH!H2013,OR(L2013="331",M2013="331")),"331",IF(AND(OR(L2013="131",M2013="131"),H2013='131-CT'!$E$7),"131",""))</f>
        <v/>
      </c>
      <c r="O2013" s="89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632</v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54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252"/>
        <v>6</v>
      </c>
      <c r="C2014" s="37">
        <f t="shared" si="254"/>
        <v>41795</v>
      </c>
      <c r="D2014" s="37" t="s">
        <v>1384</v>
      </c>
      <c r="E2014" s="191">
        <v>41795</v>
      </c>
      <c r="F2014" s="192" t="s">
        <v>549</v>
      </c>
      <c r="G2014" s="465" t="s">
        <v>550</v>
      </c>
      <c r="H2014" s="7" t="s">
        <v>1377</v>
      </c>
      <c r="I2014" s="256">
        <v>100</v>
      </c>
      <c r="J2014" s="256">
        <v>10480.434113214567</v>
      </c>
      <c r="K2014" s="568">
        <f t="shared" si="253"/>
        <v>1048043</v>
      </c>
      <c r="L2014" s="194" t="s">
        <v>175</v>
      </c>
      <c r="M2014" s="194" t="s">
        <v>169</v>
      </c>
      <c r="N2014" s="52" t="str">
        <f>IF(AND('331-CT'!$E$7=TH!H2014,OR(L2014="331",M2014="331")),"331",IF(AND(OR(L2014="131",M2014="131"),H2014='131-CT'!$E$7),"131",""))</f>
        <v/>
      </c>
      <c r="O2014" s="89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632</v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54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252"/>
        <v>6</v>
      </c>
      <c r="C2015" s="37">
        <f t="shared" si="254"/>
        <v>41795</v>
      </c>
      <c r="D2015" s="37" t="s">
        <v>1384</v>
      </c>
      <c r="E2015" s="191">
        <v>41795</v>
      </c>
      <c r="F2015" s="192" t="s">
        <v>552</v>
      </c>
      <c r="G2015" s="465" t="s">
        <v>550</v>
      </c>
      <c r="H2015" s="7" t="s">
        <v>1377</v>
      </c>
      <c r="I2015" s="256">
        <v>200</v>
      </c>
      <c r="J2015" s="256">
        <v>5768.6341132145681</v>
      </c>
      <c r="K2015" s="568">
        <f t="shared" si="253"/>
        <v>1153727</v>
      </c>
      <c r="L2015" s="194" t="s">
        <v>175</v>
      </c>
      <c r="M2015" s="194" t="s">
        <v>169</v>
      </c>
      <c r="N2015" s="52" t="str">
        <f>IF(AND('331-CT'!$E$7=TH!H2015,OR(L2015="331",M2015="331")),"331",IF(AND(OR(L2015="131",M2015="131"),H2015='131-CT'!$E$7),"131",""))</f>
        <v/>
      </c>
      <c r="O2015" s="89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632</v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54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252"/>
        <v>6</v>
      </c>
      <c r="C2016" s="37">
        <f t="shared" si="254"/>
        <v>41799</v>
      </c>
      <c r="D2016" s="37" t="s">
        <v>1384</v>
      </c>
      <c r="E2016" s="730">
        <v>41799</v>
      </c>
      <c r="F2016" s="189" t="s">
        <v>553</v>
      </c>
      <c r="G2016" s="40" t="s">
        <v>554</v>
      </c>
      <c r="H2016" s="7" t="s">
        <v>1377</v>
      </c>
      <c r="I2016" s="256">
        <v>150</v>
      </c>
      <c r="J2016" s="256">
        <v>11834.767446547901</v>
      </c>
      <c r="K2016" s="568">
        <f t="shared" si="253"/>
        <v>1775215</v>
      </c>
      <c r="L2016" s="194" t="s">
        <v>175</v>
      </c>
      <c r="M2016" s="194" t="s">
        <v>169</v>
      </c>
      <c r="N2016" s="52" t="str">
        <f>IF(AND('331-CT'!$E$7=TH!H2016,OR(L2016="331",M2016="331")),"331",IF(AND(OR(L2016="131",M2016="131"),H2016='131-CT'!$E$7),"131",""))</f>
        <v/>
      </c>
      <c r="O2016" s="89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632</v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54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252"/>
        <v>6</v>
      </c>
      <c r="C2017" s="37">
        <f t="shared" si="254"/>
        <v>41806</v>
      </c>
      <c r="D2017" s="37" t="s">
        <v>1384</v>
      </c>
      <c r="E2017" s="730">
        <v>41806</v>
      </c>
      <c r="F2017" s="189" t="s">
        <v>555</v>
      </c>
      <c r="G2017" s="40" t="s">
        <v>556</v>
      </c>
      <c r="H2017" s="7" t="s">
        <v>1377</v>
      </c>
      <c r="I2017" s="256">
        <v>398</v>
      </c>
      <c r="J2017" s="256">
        <v>24151.524565475876</v>
      </c>
      <c r="K2017" s="568">
        <f t="shared" si="253"/>
        <v>9612307</v>
      </c>
      <c r="L2017" s="194" t="s">
        <v>175</v>
      </c>
      <c r="M2017" s="194" t="s">
        <v>169</v>
      </c>
      <c r="N2017" s="52" t="str">
        <f>IF(AND('331-CT'!$E$7=TH!H2017,OR(L2017="331",M2017="331")),"331",IF(AND(OR(L2017="131",M2017="131"),H2017='131-CT'!$E$7),"131",""))</f>
        <v/>
      </c>
      <c r="O2017" s="89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632</v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54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252"/>
        <v>6</v>
      </c>
      <c r="C2018" s="37">
        <f t="shared" si="254"/>
        <v>41807</v>
      </c>
      <c r="D2018" s="37" t="s">
        <v>1384</v>
      </c>
      <c r="E2018" s="730">
        <v>41807</v>
      </c>
      <c r="F2018" s="40" t="s">
        <v>553</v>
      </c>
      <c r="G2018" s="40" t="s">
        <v>557</v>
      </c>
      <c r="H2018" s="7" t="s">
        <v>1377</v>
      </c>
      <c r="I2018" s="256">
        <v>150</v>
      </c>
      <c r="J2018" s="256">
        <v>10494.434113214569</v>
      </c>
      <c r="K2018" s="568">
        <f t="shared" si="253"/>
        <v>1574165</v>
      </c>
      <c r="L2018" s="194" t="s">
        <v>175</v>
      </c>
      <c r="M2018" s="194" t="s">
        <v>169</v>
      </c>
      <c r="N2018" s="52" t="str">
        <f>IF(AND('331-CT'!$E$7=TH!H2018,OR(L2018="331",M2018="331")),"331",IF(AND(OR(L2018="131",M2018="131"),H2018='131-CT'!$E$7),"131",""))</f>
        <v/>
      </c>
      <c r="O2018" s="89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632</v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54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252"/>
        <v>6</v>
      </c>
      <c r="C2019" s="37">
        <f t="shared" si="254"/>
        <v>41810</v>
      </c>
      <c r="D2019" s="37" t="s">
        <v>1384</v>
      </c>
      <c r="E2019" s="730">
        <v>41810</v>
      </c>
      <c r="F2019" s="40" t="s">
        <v>495</v>
      </c>
      <c r="G2019" s="40" t="s">
        <v>558</v>
      </c>
      <c r="H2019" s="7" t="s">
        <v>1377</v>
      </c>
      <c r="I2019" s="256">
        <v>542</v>
      </c>
      <c r="J2019" s="256">
        <v>7404.319722070657</v>
      </c>
      <c r="K2019" s="568">
        <f t="shared" si="253"/>
        <v>4013141</v>
      </c>
      <c r="L2019" s="194" t="s">
        <v>175</v>
      </c>
      <c r="M2019" s="194" t="s">
        <v>169</v>
      </c>
      <c r="N2019" s="52" t="str">
        <f>IF(AND('331-CT'!$E$7=TH!H2019,OR(L2019="331",M2019="331")),"331",IF(AND(OR(L2019="131",M2019="131"),H2019='131-CT'!$E$7),"131",""))</f>
        <v/>
      </c>
      <c r="O2019" s="89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632</v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54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252"/>
        <v>6</v>
      </c>
      <c r="C2020" s="37">
        <f t="shared" si="254"/>
        <v>41813</v>
      </c>
      <c r="D2020" s="37" t="s">
        <v>1384</v>
      </c>
      <c r="E2020" s="730">
        <v>41813</v>
      </c>
      <c r="F2020" s="443" t="s">
        <v>460</v>
      </c>
      <c r="G2020" s="40" t="s">
        <v>559</v>
      </c>
      <c r="H2020" s="7" t="s">
        <v>1377</v>
      </c>
      <c r="I2020" s="256">
        <v>984</v>
      </c>
      <c r="J2020" s="256">
        <v>7732.3162270357061</v>
      </c>
      <c r="K2020" s="568">
        <f t="shared" si="253"/>
        <v>7608599</v>
      </c>
      <c r="L2020" s="194" t="s">
        <v>175</v>
      </c>
      <c r="M2020" s="194" t="s">
        <v>169</v>
      </c>
      <c r="N2020" s="52" t="str">
        <f>IF(AND('331-CT'!$E$7=TH!H2020,OR(L2020="331",M2020="331")),"331",IF(AND(OR(L2020="131",M2020="131"),H2020='131-CT'!$E$7),"131",""))</f>
        <v/>
      </c>
      <c r="O2020" s="89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632</v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54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252"/>
        <v>6</v>
      </c>
      <c r="C2021" s="37">
        <f t="shared" si="254"/>
        <v>41814</v>
      </c>
      <c r="D2021" s="37" t="s">
        <v>1384</v>
      </c>
      <c r="E2021" s="730">
        <v>41814</v>
      </c>
      <c r="F2021" s="189" t="s">
        <v>560</v>
      </c>
      <c r="G2021" s="40" t="s">
        <v>561</v>
      </c>
      <c r="H2021" s="7" t="s">
        <v>1377</v>
      </c>
      <c r="I2021" s="256">
        <v>396</v>
      </c>
      <c r="J2021" s="256">
        <v>16826.767446547903</v>
      </c>
      <c r="K2021" s="568">
        <f t="shared" si="253"/>
        <v>6663400</v>
      </c>
      <c r="L2021" s="194" t="s">
        <v>175</v>
      </c>
      <c r="M2021" s="194" t="s">
        <v>169</v>
      </c>
      <c r="N2021" s="52" t="str">
        <f>IF(AND('331-CT'!$E$7=TH!H2021,OR(L2021="331",M2021="331")),"331",IF(AND(OR(L2021="131",M2021="131"),H2021='131-CT'!$E$7),"131",""))</f>
        <v/>
      </c>
      <c r="O2021" s="89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632</v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54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252"/>
        <v>6</v>
      </c>
      <c r="C2022" s="37">
        <f t="shared" si="254"/>
        <v>41814</v>
      </c>
      <c r="D2022" s="37" t="s">
        <v>1384</v>
      </c>
      <c r="E2022" s="730">
        <v>41814</v>
      </c>
      <c r="F2022" s="40" t="s">
        <v>563</v>
      </c>
      <c r="G2022" s="40" t="s">
        <v>561</v>
      </c>
      <c r="H2022" s="7" t="s">
        <v>1377</v>
      </c>
      <c r="I2022" s="256">
        <v>100</v>
      </c>
      <c r="J2022" s="256">
        <v>16117.434113214567</v>
      </c>
      <c r="K2022" s="568">
        <f t="shared" si="253"/>
        <v>1611743</v>
      </c>
      <c r="L2022" s="194" t="s">
        <v>175</v>
      </c>
      <c r="M2022" s="194" t="s">
        <v>169</v>
      </c>
      <c r="N2022" s="52" t="str">
        <f>IF(AND('331-CT'!$E$7=TH!H2022,OR(L2022="331",M2022="331")),"331",IF(AND(OR(L2022="131",M2022="131"),H2022='131-CT'!$E$7),"131",""))</f>
        <v/>
      </c>
      <c r="O2022" s="89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632</v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54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252"/>
        <v>6</v>
      </c>
      <c r="C2023" s="37">
        <f t="shared" si="254"/>
        <v>41815</v>
      </c>
      <c r="D2023" s="37" t="s">
        <v>1384</v>
      </c>
      <c r="E2023" s="730">
        <v>41815</v>
      </c>
      <c r="F2023" s="189" t="s">
        <v>564</v>
      </c>
      <c r="G2023" s="40" t="s">
        <v>565</v>
      </c>
      <c r="H2023" s="7" t="s">
        <v>1377</v>
      </c>
      <c r="I2023" s="256">
        <v>541</v>
      </c>
      <c r="J2023" s="256">
        <v>12034.434113214569</v>
      </c>
      <c r="K2023" s="568">
        <f t="shared" si="253"/>
        <v>6510629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632</v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54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252"/>
        <v>6</v>
      </c>
      <c r="C2024" s="37">
        <f t="shared" si="254"/>
        <v>41818</v>
      </c>
      <c r="D2024" s="37" t="s">
        <v>1384</v>
      </c>
      <c r="E2024" s="730">
        <v>41818</v>
      </c>
      <c r="F2024" s="40" t="s">
        <v>418</v>
      </c>
      <c r="G2024" s="40" t="s">
        <v>566</v>
      </c>
      <c r="H2024" s="7" t="s">
        <v>1377</v>
      </c>
      <c r="I2024" s="256">
        <v>2917</v>
      </c>
      <c r="J2024" s="256">
        <v>6485.4738800983532</v>
      </c>
      <c r="K2024" s="568">
        <f t="shared" si="253"/>
        <v>18918127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632</v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54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252"/>
        <v>6</v>
      </c>
      <c r="C2025" s="37">
        <f t="shared" si="254"/>
        <v>41820</v>
      </c>
      <c r="D2025" s="37" t="s">
        <v>1384</v>
      </c>
      <c r="E2025" s="730">
        <v>41820</v>
      </c>
      <c r="F2025" s="40" t="s">
        <v>567</v>
      </c>
      <c r="G2025" s="40" t="s">
        <v>568</v>
      </c>
      <c r="H2025" s="7" t="s">
        <v>1377</v>
      </c>
      <c r="I2025" s="256">
        <v>550</v>
      </c>
      <c r="J2025" s="256">
        <v>10184.910476850931</v>
      </c>
      <c r="K2025" s="568">
        <f t="shared" si="253"/>
        <v>5601701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632</v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54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252"/>
        <v>6</v>
      </c>
      <c r="C2026" s="37">
        <f t="shared" si="254"/>
        <v>41820</v>
      </c>
      <c r="D2026" s="37" t="s">
        <v>1384</v>
      </c>
      <c r="E2026" s="730">
        <v>41820</v>
      </c>
      <c r="F2026" s="189" t="s">
        <v>437</v>
      </c>
      <c r="G2026" s="40" t="s">
        <v>568</v>
      </c>
      <c r="H2026" s="7" t="s">
        <v>1377</v>
      </c>
      <c r="I2026" s="256">
        <v>500</v>
      </c>
      <c r="J2026" s="256">
        <v>9464.4341132145692</v>
      </c>
      <c r="K2026" s="568">
        <f t="shared" si="253"/>
        <v>4732217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632</v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54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252"/>
        <v>6</v>
      </c>
      <c r="C2027" s="37">
        <f t="shared" si="254"/>
        <v>41820</v>
      </c>
      <c r="D2027" s="37" t="s">
        <v>1384</v>
      </c>
      <c r="E2027" s="730">
        <v>41820</v>
      </c>
      <c r="F2027" s="40" t="s">
        <v>569</v>
      </c>
      <c r="G2027" s="40" t="s">
        <v>570</v>
      </c>
      <c r="H2027" s="7" t="s">
        <v>1377</v>
      </c>
      <c r="I2027" s="256">
        <v>203</v>
      </c>
      <c r="J2027" s="256">
        <v>9845.2567733130909</v>
      </c>
      <c r="K2027" s="568">
        <f t="shared" si="253"/>
        <v>1998587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632</v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54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252"/>
        <v>6</v>
      </c>
      <c r="C2028" s="37">
        <f t="shared" si="254"/>
        <v>41820</v>
      </c>
      <c r="D2028" s="37" t="s">
        <v>1384</v>
      </c>
      <c r="E2028" s="730">
        <v>41820</v>
      </c>
      <c r="F2028" s="189" t="s">
        <v>488</v>
      </c>
      <c r="G2028" s="40" t="s">
        <v>570</v>
      </c>
      <c r="H2028" s="7" t="s">
        <v>1377</v>
      </c>
      <c r="I2028" s="256">
        <v>205</v>
      </c>
      <c r="J2028" s="256">
        <v>5660.4585034584707</v>
      </c>
      <c r="K2028" s="568">
        <f t="shared" si="253"/>
        <v>1160394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632</v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54"/>
    </row>
    <row r="2029" spans="1:28" s="856" customFormat="1" ht="15.75" customHeight="1">
      <c r="A2029" s="844" t="str">
        <f>IF(B2029&lt;&gt;"",IF(AND(B2029&gt;=_TM1,B2029&lt;=_TM2,OR(TH!L2029="1111",TH!M2029="1111")),TH!D2029,""),"")</f>
        <v/>
      </c>
      <c r="B2029" s="845">
        <f t="shared" si="252"/>
        <v>7</v>
      </c>
      <c r="C2029" s="933">
        <f t="shared" si="254"/>
        <v>41831</v>
      </c>
      <c r="D2029" s="37" t="s">
        <v>1384</v>
      </c>
      <c r="E2029" s="938">
        <v>41831</v>
      </c>
      <c r="F2029" s="848" t="s">
        <v>516</v>
      </c>
      <c r="G2029" s="939" t="s">
        <v>571</v>
      </c>
      <c r="H2029" s="850" t="s">
        <v>1377</v>
      </c>
      <c r="I2029" s="851">
        <v>570</v>
      </c>
      <c r="J2029" s="851">
        <v>9387.4086014726599</v>
      </c>
      <c r="K2029" s="852">
        <f t="shared" si="253"/>
        <v>5350823</v>
      </c>
      <c r="L2029" s="934" t="s">
        <v>175</v>
      </c>
      <c r="M2029" s="934" t="s">
        <v>169</v>
      </c>
      <c r="N2029" s="52" t="str">
        <f>IF(AND('331-CT'!$E$7=TH!H2029,OR(L2029="331",M2029="331")),"331",IF(AND(OR(L2029="131",M2029="131"),H2029='131-CT'!$E$7),"131",""))</f>
        <v/>
      </c>
      <c r="O2029" s="89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>x</v>
      </c>
      <c r="AB2029" s="854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252"/>
        <v>7</v>
      </c>
      <c r="C2030" s="37">
        <f t="shared" si="254"/>
        <v>41831</v>
      </c>
      <c r="D2030" s="37" t="s">
        <v>1384</v>
      </c>
      <c r="E2030" s="730">
        <v>41831</v>
      </c>
      <c r="F2030" s="189" t="s">
        <v>516</v>
      </c>
      <c r="G2030" s="40" t="s">
        <v>571</v>
      </c>
      <c r="H2030" s="7" t="s">
        <v>1377</v>
      </c>
      <c r="I2030" s="256">
        <v>564</v>
      </c>
      <c r="J2030" s="256">
        <v>9387.4086014726599</v>
      </c>
      <c r="K2030" s="568">
        <f t="shared" si="253"/>
        <v>5294498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>x</v>
      </c>
      <c r="AB2030" s="854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252"/>
        <v>7</v>
      </c>
      <c r="C2031" s="37">
        <f t="shared" si="254"/>
        <v>41832</v>
      </c>
      <c r="D2031" s="37" t="s">
        <v>1384</v>
      </c>
      <c r="E2031" s="730">
        <v>41832</v>
      </c>
      <c r="F2031" s="40" t="s">
        <v>572</v>
      </c>
      <c r="G2031" s="40" t="s">
        <v>573</v>
      </c>
      <c r="H2031" s="7" t="s">
        <v>1377</v>
      </c>
      <c r="I2031" s="256">
        <v>393</v>
      </c>
      <c r="J2031" s="256">
        <v>6203.8526409732367</v>
      </c>
      <c r="K2031" s="568">
        <f t="shared" si="253"/>
        <v>2438114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>x</v>
      </c>
      <c r="AB2031" s="854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252"/>
        <v>7</v>
      </c>
      <c r="C2032" s="37">
        <f t="shared" si="254"/>
        <v>41832</v>
      </c>
      <c r="D2032" s="37" t="s">
        <v>1384</v>
      </c>
      <c r="E2032" s="730">
        <v>41832</v>
      </c>
      <c r="F2032" s="189" t="s">
        <v>574</v>
      </c>
      <c r="G2032" s="40" t="s">
        <v>573</v>
      </c>
      <c r="H2032" s="7" t="s">
        <v>1377</v>
      </c>
      <c r="I2032" s="256">
        <v>480</v>
      </c>
      <c r="J2032" s="256">
        <v>9877.1864415494947</v>
      </c>
      <c r="K2032" s="568">
        <f t="shared" si="253"/>
        <v>4741049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>x</v>
      </c>
      <c r="AB2032" s="854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252"/>
        <v>7</v>
      </c>
      <c r="C2033" s="37">
        <f t="shared" si="254"/>
        <v>41832</v>
      </c>
      <c r="D2033" s="37" t="s">
        <v>1384</v>
      </c>
      <c r="E2033" s="730">
        <v>41832</v>
      </c>
      <c r="F2033" s="189" t="s">
        <v>575</v>
      </c>
      <c r="G2033" s="40" t="s">
        <v>573</v>
      </c>
      <c r="H2033" s="7" t="s">
        <v>1377</v>
      </c>
      <c r="I2033" s="256">
        <v>219</v>
      </c>
      <c r="J2033" s="256">
        <v>9795.5568015366898</v>
      </c>
      <c r="K2033" s="568">
        <f t="shared" si="253"/>
        <v>2145227</v>
      </c>
      <c r="L2033" s="194" t="s">
        <v>175</v>
      </c>
      <c r="M2033" s="194" t="s">
        <v>169</v>
      </c>
      <c r="N2033" s="52" t="str">
        <f>IF(AND('331-CT'!$E$7=TH!H2033,OR(L2033="331",M2033="331")),"331",IF(AND(OR(L2033="131",M2033="131"),H2033='131-CT'!$E$7),"131",""))</f>
        <v/>
      </c>
      <c r="O2033" s="89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>x</v>
      </c>
      <c r="AB2033" s="854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252"/>
        <v>7</v>
      </c>
      <c r="C2034" s="37">
        <f t="shared" si="254"/>
        <v>41834</v>
      </c>
      <c r="D2034" s="37" t="s">
        <v>1384</v>
      </c>
      <c r="E2034" s="184">
        <v>41834</v>
      </c>
      <c r="F2034" s="189" t="s">
        <v>576</v>
      </c>
      <c r="G2034" s="570" t="s">
        <v>577</v>
      </c>
      <c r="H2034" s="7" t="s">
        <v>1377</v>
      </c>
      <c r="I2034" s="256">
        <v>300</v>
      </c>
      <c r="J2034" s="256">
        <v>8897.630761395827</v>
      </c>
      <c r="K2034" s="568">
        <f t="shared" si="253"/>
        <v>2669289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>x</v>
      </c>
      <c r="AB2034" s="854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252"/>
        <v>7</v>
      </c>
      <c r="C2035" s="37">
        <f t="shared" si="254"/>
        <v>41834</v>
      </c>
      <c r="D2035" s="37" t="s">
        <v>1384</v>
      </c>
      <c r="E2035" s="184">
        <v>41834</v>
      </c>
      <c r="F2035" s="189" t="s">
        <v>578</v>
      </c>
      <c r="G2035" s="570" t="s">
        <v>577</v>
      </c>
      <c r="H2035" s="7" t="s">
        <v>1377</v>
      </c>
      <c r="I2035" s="256">
        <v>720</v>
      </c>
      <c r="J2035" s="256">
        <v>9224.1493214470484</v>
      </c>
      <c r="K2035" s="568">
        <f t="shared" si="253"/>
        <v>6641388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>x</v>
      </c>
      <c r="AB2035" s="854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252"/>
        <v>7</v>
      </c>
      <c r="C2036" s="37">
        <f t="shared" si="254"/>
        <v>41834</v>
      </c>
      <c r="D2036" s="37" t="s">
        <v>1384</v>
      </c>
      <c r="E2036" s="191">
        <v>41834</v>
      </c>
      <c r="F2036" s="192" t="s">
        <v>437</v>
      </c>
      <c r="G2036" s="468" t="s">
        <v>579</v>
      </c>
      <c r="H2036" s="7" t="s">
        <v>1377</v>
      </c>
      <c r="I2036" s="256">
        <v>522</v>
      </c>
      <c r="J2036" s="256">
        <v>7754.8158012165459</v>
      </c>
      <c r="K2036" s="568">
        <f t="shared" si="253"/>
        <v>4048014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>x</v>
      </c>
      <c r="AB2036" s="854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252"/>
        <v>7</v>
      </c>
      <c r="C2037" s="37">
        <f t="shared" si="254"/>
        <v>41834</v>
      </c>
      <c r="D2037" s="37" t="s">
        <v>1384</v>
      </c>
      <c r="E2037" s="191">
        <v>41834</v>
      </c>
      <c r="F2037" s="192" t="s">
        <v>575</v>
      </c>
      <c r="G2037" s="468" t="s">
        <v>579</v>
      </c>
      <c r="H2037" s="7" t="s">
        <v>1377</v>
      </c>
      <c r="I2037" s="256">
        <v>525</v>
      </c>
      <c r="J2037" s="256">
        <v>9795.5568015366898</v>
      </c>
      <c r="K2037" s="568">
        <f t="shared" si="253"/>
        <v>5142667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>x</v>
      </c>
      <c r="AB2037" s="854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252"/>
        <v>7</v>
      </c>
      <c r="C2038" s="37">
        <f t="shared" si="254"/>
        <v>41834</v>
      </c>
      <c r="D2038" s="37" t="s">
        <v>1384</v>
      </c>
      <c r="E2038" s="191">
        <v>41834</v>
      </c>
      <c r="F2038" s="192" t="s">
        <v>509</v>
      </c>
      <c r="G2038" s="468" t="s">
        <v>580</v>
      </c>
      <c r="H2038" s="7" t="s">
        <v>1377</v>
      </c>
      <c r="I2038" s="256">
        <v>214</v>
      </c>
      <c r="J2038" s="256">
        <v>7673.1861612037401</v>
      </c>
      <c r="K2038" s="568">
        <f t="shared" si="253"/>
        <v>1642062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>x</v>
      </c>
      <c r="AB2038" s="854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252"/>
        <v>7</v>
      </c>
      <c r="C2039" s="37">
        <f t="shared" si="254"/>
        <v>41834</v>
      </c>
      <c r="D2039" s="37" t="s">
        <v>1384</v>
      </c>
      <c r="E2039" s="191">
        <v>41834</v>
      </c>
      <c r="F2039" s="192" t="s">
        <v>487</v>
      </c>
      <c r="G2039" s="468" t="s">
        <v>580</v>
      </c>
      <c r="H2039" s="7" t="s">
        <v>1377</v>
      </c>
      <c r="I2039" s="256">
        <v>133</v>
      </c>
      <c r="J2039" s="256">
        <v>7265.037961139712</v>
      </c>
      <c r="K2039" s="568">
        <f t="shared" si="253"/>
        <v>966250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>x</v>
      </c>
      <c r="AB2039" s="854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252"/>
        <v>7</v>
      </c>
      <c r="C2040" s="37">
        <f t="shared" si="254"/>
        <v>41837</v>
      </c>
      <c r="D2040" s="37" t="s">
        <v>1384</v>
      </c>
      <c r="E2040" s="191">
        <v>41837</v>
      </c>
      <c r="F2040" s="192" t="s">
        <v>581</v>
      </c>
      <c r="G2040" s="468" t="s">
        <v>582</v>
      </c>
      <c r="H2040" s="7" t="s">
        <v>1377</v>
      </c>
      <c r="I2040" s="256">
        <v>115</v>
      </c>
      <c r="J2040" s="256">
        <v>11183.260681754389</v>
      </c>
      <c r="K2040" s="568">
        <f t="shared" si="253"/>
        <v>1286075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>x</v>
      </c>
      <c r="AB2040" s="854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252"/>
        <v>7</v>
      </c>
      <c r="C2041" s="37">
        <f t="shared" si="254"/>
        <v>41837</v>
      </c>
      <c r="D2041" s="37" t="s">
        <v>1384</v>
      </c>
      <c r="E2041" s="191">
        <v>41837</v>
      </c>
      <c r="F2041" s="192" t="s">
        <v>584</v>
      </c>
      <c r="G2041" s="468" t="s">
        <v>582</v>
      </c>
      <c r="H2041" s="7" t="s">
        <v>1377</v>
      </c>
      <c r="I2041" s="256">
        <v>15</v>
      </c>
      <c r="J2041" s="256">
        <v>14121.927722215394</v>
      </c>
      <c r="K2041" s="568">
        <f t="shared" si="253"/>
        <v>211829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>x</v>
      </c>
      <c r="AB2041" s="854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252"/>
        <v>7</v>
      </c>
      <c r="C2042" s="37">
        <f t="shared" si="254"/>
        <v>41837</v>
      </c>
      <c r="D2042" s="37" t="s">
        <v>1384</v>
      </c>
      <c r="E2042" s="191">
        <v>41837</v>
      </c>
      <c r="F2042" s="192" t="s">
        <v>585</v>
      </c>
      <c r="G2042" s="468" t="s">
        <v>582</v>
      </c>
      <c r="H2042" s="7" t="s">
        <v>1377</v>
      </c>
      <c r="I2042" s="256">
        <v>40</v>
      </c>
      <c r="J2042" s="256">
        <v>8979.2604014086337</v>
      </c>
      <c r="K2042" s="568">
        <f t="shared" si="253"/>
        <v>359170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>x</v>
      </c>
      <c r="AB2042" s="854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ref="B2043:B2106" si="255">IF(C2043&lt;&gt;"",MONTH(C2043),"")</f>
        <v>7</v>
      </c>
      <c r="C2043" s="37">
        <f t="shared" si="254"/>
        <v>41837</v>
      </c>
      <c r="D2043" s="37" t="s">
        <v>1384</v>
      </c>
      <c r="E2043" s="191">
        <v>41837</v>
      </c>
      <c r="F2043" s="192" t="s">
        <v>586</v>
      </c>
      <c r="G2043" s="468" t="s">
        <v>582</v>
      </c>
      <c r="H2043" s="7" t="s">
        <v>1377</v>
      </c>
      <c r="I2043" s="256">
        <v>720</v>
      </c>
      <c r="J2043" s="256">
        <v>11183.260681754389</v>
      </c>
      <c r="K2043" s="568">
        <f t="shared" ref="K2043:K2106" si="256">ROUND(I2043*J2043,0)</f>
        <v>8051948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>x</v>
      </c>
      <c r="AB2043" s="854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255"/>
        <v>7</v>
      </c>
      <c r="C2044" s="37">
        <f t="shared" ref="C2044:C2107" si="257">E2044</f>
        <v>41837</v>
      </c>
      <c r="D2044" s="37" t="s">
        <v>1384</v>
      </c>
      <c r="E2044" s="191">
        <v>41837</v>
      </c>
      <c r="F2044" s="192" t="s">
        <v>587</v>
      </c>
      <c r="G2044" s="468" t="s">
        <v>582</v>
      </c>
      <c r="H2044" s="7" t="s">
        <v>1377</v>
      </c>
      <c r="I2044" s="256">
        <v>370</v>
      </c>
      <c r="J2044" s="256">
        <v>10122.075361587913</v>
      </c>
      <c r="K2044" s="568">
        <f t="shared" si="256"/>
        <v>3745168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>x</v>
      </c>
      <c r="AB2044" s="854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255"/>
        <v>7</v>
      </c>
      <c r="C2045" s="37">
        <f t="shared" si="257"/>
        <v>41837</v>
      </c>
      <c r="D2045" s="37" t="s">
        <v>1384</v>
      </c>
      <c r="E2045" s="191">
        <v>41837</v>
      </c>
      <c r="F2045" s="192" t="s">
        <v>495</v>
      </c>
      <c r="G2045" s="468" t="s">
        <v>588</v>
      </c>
      <c r="H2045" s="7" t="s">
        <v>1377</v>
      </c>
      <c r="I2045" s="256">
        <v>500</v>
      </c>
      <c r="J2045" s="256">
        <v>7101.7786811141004</v>
      </c>
      <c r="K2045" s="568">
        <f t="shared" si="256"/>
        <v>3550889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>x</v>
      </c>
      <c r="AB2045" s="854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255"/>
        <v>7</v>
      </c>
      <c r="C2046" s="37">
        <f t="shared" si="257"/>
        <v>41837</v>
      </c>
      <c r="D2046" s="37" t="s">
        <v>1384</v>
      </c>
      <c r="E2046" s="191">
        <v>41837</v>
      </c>
      <c r="F2046" s="192" t="s">
        <v>513</v>
      </c>
      <c r="G2046" s="468" t="s">
        <v>588</v>
      </c>
      <c r="H2046" s="7" t="s">
        <v>1377</v>
      </c>
      <c r="I2046" s="256">
        <v>410</v>
      </c>
      <c r="J2046" s="256">
        <v>5714.0748008964019</v>
      </c>
      <c r="K2046" s="568">
        <f t="shared" si="256"/>
        <v>2342771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>x</v>
      </c>
      <c r="AB2046" s="854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255"/>
        <v>7</v>
      </c>
      <c r="C2047" s="37">
        <f t="shared" si="257"/>
        <v>41837</v>
      </c>
      <c r="D2047" s="37" t="s">
        <v>1384</v>
      </c>
      <c r="E2047" s="191">
        <v>41837</v>
      </c>
      <c r="F2047" s="192" t="s">
        <v>484</v>
      </c>
      <c r="G2047" s="468" t="s">
        <v>588</v>
      </c>
      <c r="H2047" s="7" t="s">
        <v>1377</v>
      </c>
      <c r="I2047" s="256">
        <v>280</v>
      </c>
      <c r="J2047" s="256">
        <v>10938.371761715971</v>
      </c>
      <c r="K2047" s="568">
        <f t="shared" si="256"/>
        <v>3062744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>x</v>
      </c>
      <c r="AB2047" s="854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255"/>
        <v>7</v>
      </c>
      <c r="C2048" s="37">
        <f t="shared" si="257"/>
        <v>41842</v>
      </c>
      <c r="D2048" s="37" t="s">
        <v>1384</v>
      </c>
      <c r="E2048" s="191">
        <v>41842</v>
      </c>
      <c r="F2048" s="192" t="s">
        <v>422</v>
      </c>
      <c r="G2048" s="468" t="s">
        <v>589</v>
      </c>
      <c r="H2048" s="7" t="s">
        <v>1377</v>
      </c>
      <c r="I2048" s="256">
        <v>513</v>
      </c>
      <c r="J2048" s="256">
        <v>11836.297801856834</v>
      </c>
      <c r="K2048" s="568">
        <f t="shared" si="256"/>
        <v>6072021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>x</v>
      </c>
      <c r="AB2048" s="854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255"/>
        <v>7</v>
      </c>
      <c r="C2049" s="37">
        <f t="shared" si="257"/>
        <v>41842</v>
      </c>
      <c r="D2049" s="37" t="s">
        <v>1384</v>
      </c>
      <c r="E2049" s="191">
        <v>41842</v>
      </c>
      <c r="F2049" s="192" t="s">
        <v>446</v>
      </c>
      <c r="G2049" s="468" t="s">
        <v>589</v>
      </c>
      <c r="H2049" s="7" t="s">
        <v>1377</v>
      </c>
      <c r="I2049" s="256">
        <v>1026</v>
      </c>
      <c r="J2049" s="256">
        <v>816.29640012805748</v>
      </c>
      <c r="K2049" s="568">
        <f t="shared" si="256"/>
        <v>837520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>x</v>
      </c>
      <c r="AB2049" s="854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255"/>
        <v>7</v>
      </c>
      <c r="C2050" s="37">
        <f t="shared" si="257"/>
        <v>41842</v>
      </c>
      <c r="D2050" s="37" t="s">
        <v>1384</v>
      </c>
      <c r="E2050" s="191">
        <v>41842</v>
      </c>
      <c r="F2050" s="192" t="s">
        <v>481</v>
      </c>
      <c r="G2050" s="468" t="s">
        <v>590</v>
      </c>
      <c r="H2050" s="7" t="s">
        <v>1377</v>
      </c>
      <c r="I2050" s="256">
        <v>1600</v>
      </c>
      <c r="J2050" s="256">
        <v>5632.4451608835961</v>
      </c>
      <c r="K2050" s="568">
        <f t="shared" si="256"/>
        <v>9011912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>x</v>
      </c>
      <c r="AB2050" s="854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255"/>
        <v>7</v>
      </c>
      <c r="C2051" s="37">
        <f t="shared" si="257"/>
        <v>41843</v>
      </c>
      <c r="D2051" s="37" t="s">
        <v>1384</v>
      </c>
      <c r="E2051" s="191">
        <v>41843</v>
      </c>
      <c r="F2051" s="192" t="s">
        <v>501</v>
      </c>
      <c r="G2051" s="468" t="s">
        <v>591</v>
      </c>
      <c r="H2051" s="7" t="s">
        <v>1377</v>
      </c>
      <c r="I2051" s="256">
        <v>563</v>
      </c>
      <c r="J2051" s="256">
        <v>6856.8897610756831</v>
      </c>
      <c r="K2051" s="568">
        <f t="shared" si="256"/>
        <v>3860429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>x</v>
      </c>
      <c r="AB2051" s="854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255"/>
        <v>7</v>
      </c>
      <c r="C2052" s="37">
        <f t="shared" si="257"/>
        <v>41843</v>
      </c>
      <c r="D2052" s="37" t="s">
        <v>1384</v>
      </c>
      <c r="E2052" s="191">
        <v>41843</v>
      </c>
      <c r="F2052" s="192" t="s">
        <v>504</v>
      </c>
      <c r="G2052" s="468" t="s">
        <v>591</v>
      </c>
      <c r="H2052" s="7" t="s">
        <v>1377</v>
      </c>
      <c r="I2052" s="256">
        <v>212</v>
      </c>
      <c r="J2052" s="256">
        <v>7346.6676011525178</v>
      </c>
      <c r="K2052" s="568">
        <f t="shared" si="256"/>
        <v>1557494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>x</v>
      </c>
      <c r="AB2052" s="854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255"/>
        <v>7</v>
      </c>
      <c r="C2053" s="37">
        <f t="shared" si="257"/>
        <v>41843</v>
      </c>
      <c r="D2053" s="37" t="s">
        <v>1384</v>
      </c>
      <c r="E2053" s="730">
        <v>41843</v>
      </c>
      <c r="F2053" s="443" t="s">
        <v>406</v>
      </c>
      <c r="G2053" s="40" t="s">
        <v>591</v>
      </c>
      <c r="H2053" s="7" t="s">
        <v>1377</v>
      </c>
      <c r="I2053" s="256">
        <v>197</v>
      </c>
      <c r="J2053" s="256">
        <v>8081.3343612677691</v>
      </c>
      <c r="K2053" s="568">
        <f t="shared" si="256"/>
        <v>1592023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>x</v>
      </c>
      <c r="AB2053" s="854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255"/>
        <v>7</v>
      </c>
      <c r="C2054" s="37">
        <f t="shared" si="257"/>
        <v>41843</v>
      </c>
      <c r="D2054" s="37" t="s">
        <v>1384</v>
      </c>
      <c r="E2054" s="730">
        <v>41843</v>
      </c>
      <c r="F2054" s="40" t="s">
        <v>505</v>
      </c>
      <c r="G2054" s="40" t="s">
        <v>591</v>
      </c>
      <c r="H2054" s="7" t="s">
        <v>1377</v>
      </c>
      <c r="I2054" s="256">
        <v>216</v>
      </c>
      <c r="J2054" s="256">
        <v>7754.8158012165459</v>
      </c>
      <c r="K2054" s="568">
        <f t="shared" si="256"/>
        <v>1675040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>x</v>
      </c>
      <c r="AB2054" s="854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255"/>
        <v>7</v>
      </c>
      <c r="C2055" s="37">
        <f t="shared" si="257"/>
        <v>41843</v>
      </c>
      <c r="D2055" s="37" t="s">
        <v>1384</v>
      </c>
      <c r="E2055" s="730">
        <v>41843</v>
      </c>
      <c r="F2055" s="40" t="s">
        <v>592</v>
      </c>
      <c r="G2055" s="40" t="s">
        <v>593</v>
      </c>
      <c r="H2055" s="7" t="s">
        <v>1377</v>
      </c>
      <c r="I2055" s="256">
        <v>413</v>
      </c>
      <c r="J2055" s="256">
        <v>17305.483682714821</v>
      </c>
      <c r="K2055" s="568">
        <f t="shared" si="256"/>
        <v>7147165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>x</v>
      </c>
      <c r="AB2055" s="854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255"/>
        <v>7</v>
      </c>
      <c r="C2056" s="37">
        <f t="shared" si="257"/>
        <v>41843</v>
      </c>
      <c r="D2056" s="37" t="s">
        <v>1384</v>
      </c>
      <c r="E2056" s="730">
        <v>41843</v>
      </c>
      <c r="F2056" s="40" t="s">
        <v>594</v>
      </c>
      <c r="G2056" s="40" t="s">
        <v>595</v>
      </c>
      <c r="H2056" s="7" t="s">
        <v>1377</v>
      </c>
      <c r="I2056" s="256">
        <v>190</v>
      </c>
      <c r="J2056" s="256">
        <v>24407.262363828919</v>
      </c>
      <c r="K2056" s="568">
        <f t="shared" si="256"/>
        <v>4637380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>x</v>
      </c>
      <c r="AB2056" s="854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255"/>
        <v>7</v>
      </c>
      <c r="C2057" s="37">
        <f t="shared" si="257"/>
        <v>41843</v>
      </c>
      <c r="D2057" s="37" t="s">
        <v>1384</v>
      </c>
      <c r="E2057" s="730">
        <v>41843</v>
      </c>
      <c r="F2057" s="40" t="s">
        <v>596</v>
      </c>
      <c r="G2057" s="40" t="s">
        <v>597</v>
      </c>
      <c r="H2057" s="7" t="s">
        <v>1377</v>
      </c>
      <c r="I2057" s="256">
        <v>202</v>
      </c>
      <c r="J2057" s="256">
        <v>7428.2972411653236</v>
      </c>
      <c r="K2057" s="568">
        <f t="shared" si="256"/>
        <v>1500516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>x</v>
      </c>
      <c r="AB2057" s="854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255"/>
        <v>7</v>
      </c>
      <c r="C2058" s="37">
        <f t="shared" si="257"/>
        <v>41843</v>
      </c>
      <c r="D2058" s="37" t="s">
        <v>1384</v>
      </c>
      <c r="E2058" s="730">
        <v>41843</v>
      </c>
      <c r="F2058" s="40" t="s">
        <v>598</v>
      </c>
      <c r="G2058" s="40" t="s">
        <v>597</v>
      </c>
      <c r="H2058" s="7" t="s">
        <v>1377</v>
      </c>
      <c r="I2058" s="256">
        <v>103</v>
      </c>
      <c r="J2058" s="256">
        <v>16652.446562612375</v>
      </c>
      <c r="K2058" s="568">
        <f t="shared" si="256"/>
        <v>1715202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>x</v>
      </c>
      <c r="AB2058" s="854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255"/>
        <v>7</v>
      </c>
      <c r="C2059" s="37">
        <f t="shared" si="257"/>
        <v>41845</v>
      </c>
      <c r="D2059" s="37" t="s">
        <v>1384</v>
      </c>
      <c r="E2059" s="730">
        <v>41845</v>
      </c>
      <c r="F2059" s="40" t="s">
        <v>599</v>
      </c>
      <c r="G2059" s="40" t="s">
        <v>600</v>
      </c>
      <c r="H2059" s="7" t="s">
        <v>1377</v>
      </c>
      <c r="I2059" s="256">
        <v>100</v>
      </c>
      <c r="J2059" s="256">
        <v>5469.1858808579855</v>
      </c>
      <c r="K2059" s="568">
        <f t="shared" si="256"/>
        <v>546919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>x</v>
      </c>
      <c r="AB2059" s="854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255"/>
        <v>7</v>
      </c>
      <c r="C2060" s="37">
        <f t="shared" si="257"/>
        <v>41845</v>
      </c>
      <c r="D2060" s="37" t="s">
        <v>1384</v>
      </c>
      <c r="E2060" s="730">
        <v>41845</v>
      </c>
      <c r="F2060" s="40" t="s">
        <v>601</v>
      </c>
      <c r="G2060" s="40" t="s">
        <v>602</v>
      </c>
      <c r="H2060" s="7" t="s">
        <v>1377</v>
      </c>
      <c r="I2060" s="256">
        <v>371</v>
      </c>
      <c r="J2060" s="256">
        <v>10366.964281626329</v>
      </c>
      <c r="K2060" s="568">
        <f t="shared" si="256"/>
        <v>3846144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>x</v>
      </c>
      <c r="AB2060" s="854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255"/>
        <v>7</v>
      </c>
      <c r="C2061" s="37">
        <f t="shared" si="257"/>
        <v>41845</v>
      </c>
      <c r="D2061" s="37" t="s">
        <v>1384</v>
      </c>
      <c r="E2061" s="730">
        <v>41845</v>
      </c>
      <c r="F2061" s="40" t="s">
        <v>604</v>
      </c>
      <c r="G2061" s="40" t="s">
        <v>602</v>
      </c>
      <c r="H2061" s="7" t="s">
        <v>1377</v>
      </c>
      <c r="I2061" s="256">
        <v>156</v>
      </c>
      <c r="J2061" s="256">
        <v>9469.0382414854666</v>
      </c>
      <c r="K2061" s="568">
        <f t="shared" si="256"/>
        <v>1477170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>x</v>
      </c>
      <c r="AB2061" s="854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255"/>
        <v>7</v>
      </c>
      <c r="C2062" s="37">
        <f t="shared" si="257"/>
        <v>41845</v>
      </c>
      <c r="D2062" s="37" t="s">
        <v>1384</v>
      </c>
      <c r="E2062" s="730">
        <v>41845</v>
      </c>
      <c r="F2062" s="40" t="s">
        <v>624</v>
      </c>
      <c r="G2062" s="40" t="s">
        <v>602</v>
      </c>
      <c r="H2062" s="7" t="s">
        <v>1377</v>
      </c>
      <c r="I2062" s="256">
        <v>1400</v>
      </c>
      <c r="J2062" s="256">
        <v>489.77784007683448</v>
      </c>
      <c r="K2062" s="568">
        <f t="shared" si="256"/>
        <v>685689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>x</v>
      </c>
      <c r="AB2062" s="854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255"/>
        <v>7</v>
      </c>
      <c r="C2063" s="37">
        <f t="shared" si="257"/>
        <v>41845</v>
      </c>
      <c r="D2063" s="37" t="s">
        <v>1384</v>
      </c>
      <c r="E2063" s="730">
        <v>41845</v>
      </c>
      <c r="F2063" s="40" t="s">
        <v>605</v>
      </c>
      <c r="G2063" s="40" t="s">
        <v>606</v>
      </c>
      <c r="H2063" s="7" t="s">
        <v>1377</v>
      </c>
      <c r="I2063" s="256">
        <v>97</v>
      </c>
      <c r="J2063" s="256">
        <v>8734.3714813702154</v>
      </c>
      <c r="K2063" s="568">
        <f t="shared" si="256"/>
        <v>847234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>x</v>
      </c>
      <c r="AB2063" s="854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255"/>
        <v>7</v>
      </c>
      <c r="C2064" s="37">
        <f t="shared" si="257"/>
        <v>41849</v>
      </c>
      <c r="D2064" s="37" t="s">
        <v>1384</v>
      </c>
      <c r="E2064" s="730">
        <v>41849</v>
      </c>
      <c r="F2064" s="40" t="s">
        <v>607</v>
      </c>
      <c r="G2064" s="40" t="s">
        <v>608</v>
      </c>
      <c r="H2064" s="7" t="s">
        <v>1377</v>
      </c>
      <c r="I2064" s="256">
        <v>1920</v>
      </c>
      <c r="J2064" s="256">
        <v>9713.9271615238831</v>
      </c>
      <c r="K2064" s="568">
        <f t="shared" si="256"/>
        <v>18650740</v>
      </c>
      <c r="L2064" s="194" t="s">
        <v>175</v>
      </c>
      <c r="M2064" s="194" t="s">
        <v>169</v>
      </c>
      <c r="N2064" s="52" t="str">
        <f>IF(AND('331-CT'!$E$7=TH!H2064,OR(L2064="331",M2064="331")),"331",IF(AND(OR(L2064="131",M2064="131"),H2064='131-CT'!$E$7),"131",""))</f>
        <v/>
      </c>
      <c r="O2064" s="89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>x</v>
      </c>
      <c r="AB2064" s="854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255"/>
        <v>7</v>
      </c>
      <c r="C2065" s="37">
        <f t="shared" si="257"/>
        <v>41849</v>
      </c>
      <c r="D2065" s="37" t="s">
        <v>1384</v>
      </c>
      <c r="E2065" s="730">
        <v>41849</v>
      </c>
      <c r="F2065" s="40" t="s">
        <v>609</v>
      </c>
      <c r="G2065" s="40" t="s">
        <v>608</v>
      </c>
      <c r="H2065" s="7" t="s">
        <v>1377</v>
      </c>
      <c r="I2065" s="256">
        <v>560</v>
      </c>
      <c r="J2065" s="256">
        <v>12570.964561972085</v>
      </c>
      <c r="K2065" s="568">
        <f t="shared" si="256"/>
        <v>7039740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>x</v>
      </c>
      <c r="AB2065" s="854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255"/>
        <v>7</v>
      </c>
      <c r="C2066" s="37">
        <f t="shared" si="257"/>
        <v>41849</v>
      </c>
      <c r="D2066" s="37" t="s">
        <v>1384</v>
      </c>
      <c r="E2066" s="730">
        <v>41849</v>
      </c>
      <c r="F2066" s="40" t="s">
        <v>567</v>
      </c>
      <c r="G2066" s="40" t="s">
        <v>610</v>
      </c>
      <c r="H2066" s="7" t="s">
        <v>1377</v>
      </c>
      <c r="I2066" s="256">
        <v>515</v>
      </c>
      <c r="J2066" s="256">
        <v>7918.0750812421575</v>
      </c>
      <c r="K2066" s="568">
        <f t="shared" si="256"/>
        <v>4077809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>x</v>
      </c>
      <c r="AB2066" s="854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255"/>
        <v>7</v>
      </c>
      <c r="C2067" s="37">
        <f t="shared" si="257"/>
        <v>41849</v>
      </c>
      <c r="D2067" s="37" t="s">
        <v>1384</v>
      </c>
      <c r="E2067" s="730">
        <v>41849</v>
      </c>
      <c r="F2067" s="40" t="s">
        <v>611</v>
      </c>
      <c r="G2067" s="40" t="s">
        <v>610</v>
      </c>
      <c r="H2067" s="7" t="s">
        <v>1377</v>
      </c>
      <c r="I2067" s="256">
        <v>500</v>
      </c>
      <c r="J2067" s="256">
        <v>5061.0376807939565</v>
      </c>
      <c r="K2067" s="568">
        <f t="shared" si="256"/>
        <v>2530519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>x</v>
      </c>
      <c r="AB2067" s="854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255"/>
        <v>7</v>
      </c>
      <c r="C2068" s="37">
        <f t="shared" si="257"/>
        <v>41850</v>
      </c>
      <c r="D2068" s="37" t="s">
        <v>1384</v>
      </c>
      <c r="E2068" s="730">
        <v>41850</v>
      </c>
      <c r="F2068" s="40" t="s">
        <v>418</v>
      </c>
      <c r="G2068" s="40" t="s">
        <v>612</v>
      </c>
      <c r="H2068" s="7" t="s">
        <v>1377</v>
      </c>
      <c r="I2068" s="256">
        <v>2554</v>
      </c>
      <c r="J2068" s="256">
        <v>5469.1858808579855</v>
      </c>
      <c r="K2068" s="568">
        <f t="shared" si="256"/>
        <v>13968301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>x</v>
      </c>
      <c r="AB2068" s="854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255"/>
        <v>7</v>
      </c>
      <c r="C2069" s="37">
        <f t="shared" si="257"/>
        <v>41850</v>
      </c>
      <c r="D2069" s="37" t="s">
        <v>1384</v>
      </c>
      <c r="E2069" s="730">
        <v>41850</v>
      </c>
      <c r="F2069" s="192" t="s">
        <v>613</v>
      </c>
      <c r="G2069" s="468" t="s">
        <v>612</v>
      </c>
      <c r="H2069" s="7" t="s">
        <v>1377</v>
      </c>
      <c r="I2069" s="256">
        <v>330</v>
      </c>
      <c r="J2069" s="256">
        <v>4326.3709206787053</v>
      </c>
      <c r="K2069" s="568">
        <f t="shared" si="256"/>
        <v>1427702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>x</v>
      </c>
      <c r="AB2069" s="854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255"/>
        <v>8</v>
      </c>
      <c r="C2070" s="37">
        <f t="shared" si="257"/>
        <v>41857</v>
      </c>
      <c r="D2070" s="37" t="s">
        <v>1384</v>
      </c>
      <c r="E2070" s="730">
        <v>41857</v>
      </c>
      <c r="F2070" s="192" t="s">
        <v>422</v>
      </c>
      <c r="G2070" s="468" t="s">
        <v>614</v>
      </c>
      <c r="H2070" s="7" t="s">
        <v>1377</v>
      </c>
      <c r="I2070" s="256">
        <v>500</v>
      </c>
      <c r="J2070" s="256">
        <v>11836.297801856834</v>
      </c>
      <c r="K2070" s="568">
        <f t="shared" si="256"/>
        <v>5918149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>x</v>
      </c>
      <c r="AB2070" s="854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255"/>
        <v>8</v>
      </c>
      <c r="C2071" s="37">
        <f t="shared" si="257"/>
        <v>41858</v>
      </c>
      <c r="D2071" s="37" t="s">
        <v>1384</v>
      </c>
      <c r="E2071" s="730">
        <v>41858</v>
      </c>
      <c r="F2071" s="192" t="s">
        <v>446</v>
      </c>
      <c r="G2071" s="468" t="s">
        <v>614</v>
      </c>
      <c r="H2071" s="7" t="s">
        <v>1377</v>
      </c>
      <c r="I2071" s="256">
        <v>1000</v>
      </c>
      <c r="J2071" s="256">
        <v>816.29640012805748</v>
      </c>
      <c r="K2071" s="568">
        <f t="shared" si="256"/>
        <v>816296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>x</v>
      </c>
      <c r="AB2071" s="854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255"/>
        <v>8</v>
      </c>
      <c r="C2072" s="37">
        <f t="shared" si="257"/>
        <v>41859</v>
      </c>
      <c r="D2072" s="37" t="s">
        <v>1384</v>
      </c>
      <c r="E2072" s="730">
        <v>41859</v>
      </c>
      <c r="F2072" s="192" t="s">
        <v>495</v>
      </c>
      <c r="G2072" s="468" t="s">
        <v>615</v>
      </c>
      <c r="H2072" s="7" t="s">
        <v>1377</v>
      </c>
      <c r="I2072" s="256">
        <v>300</v>
      </c>
      <c r="J2072" s="256">
        <v>7101.7786811141004</v>
      </c>
      <c r="K2072" s="568">
        <f t="shared" si="256"/>
        <v>2130534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>x</v>
      </c>
      <c r="AB2072" s="854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255"/>
        <v>8</v>
      </c>
      <c r="C2073" s="37">
        <f t="shared" si="257"/>
        <v>41859</v>
      </c>
      <c r="D2073" s="37" t="s">
        <v>1384</v>
      </c>
      <c r="E2073" s="730">
        <v>41859</v>
      </c>
      <c r="F2073" s="192" t="s">
        <v>616</v>
      </c>
      <c r="G2073" s="468" t="s">
        <v>617</v>
      </c>
      <c r="H2073" s="7" t="s">
        <v>1377</v>
      </c>
      <c r="I2073" s="256">
        <v>393</v>
      </c>
      <c r="J2073" s="256">
        <v>5550.8155208707913</v>
      </c>
      <c r="K2073" s="568">
        <f t="shared" si="256"/>
        <v>2181470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>x</v>
      </c>
      <c r="AB2073" s="854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255"/>
        <v>8</v>
      </c>
      <c r="C2074" s="37">
        <f t="shared" si="257"/>
        <v>41859</v>
      </c>
      <c r="D2074" s="37" t="s">
        <v>1384</v>
      </c>
      <c r="E2074" s="730">
        <v>41859</v>
      </c>
      <c r="F2074" s="192" t="s">
        <v>619</v>
      </c>
      <c r="G2074" s="468" t="s">
        <v>620</v>
      </c>
      <c r="H2074" s="7" t="s">
        <v>1377</v>
      </c>
      <c r="I2074" s="256">
        <v>198</v>
      </c>
      <c r="J2074" s="256">
        <v>14366.816642253812</v>
      </c>
      <c r="K2074" s="568">
        <f t="shared" si="256"/>
        <v>2844630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>x</v>
      </c>
      <c r="AB2074" s="854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255"/>
        <v>8</v>
      </c>
      <c r="C2075" s="37">
        <f t="shared" si="257"/>
        <v>41859</v>
      </c>
      <c r="D2075" s="37" t="s">
        <v>1384</v>
      </c>
      <c r="E2075" s="730">
        <v>41859</v>
      </c>
      <c r="F2075" s="192" t="s">
        <v>621</v>
      </c>
      <c r="G2075" s="468" t="s">
        <v>620</v>
      </c>
      <c r="H2075" s="7" t="s">
        <v>1377</v>
      </c>
      <c r="I2075" s="256">
        <v>996</v>
      </c>
      <c r="J2075" s="256">
        <v>8081.3343612677691</v>
      </c>
      <c r="K2075" s="568">
        <f t="shared" si="256"/>
        <v>8049009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>x</v>
      </c>
      <c r="AB2075" s="854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255"/>
        <v>8</v>
      </c>
      <c r="C2076" s="37">
        <f t="shared" si="257"/>
        <v>41859</v>
      </c>
      <c r="D2076" s="37" t="s">
        <v>1384</v>
      </c>
      <c r="E2076" s="730">
        <v>41859</v>
      </c>
      <c r="F2076" s="192" t="s">
        <v>622</v>
      </c>
      <c r="G2076" s="468" t="s">
        <v>620</v>
      </c>
      <c r="H2076" s="7" t="s">
        <v>1377</v>
      </c>
      <c r="I2076" s="256">
        <v>650</v>
      </c>
      <c r="J2076" s="256">
        <v>13713.779522151366</v>
      </c>
      <c r="K2076" s="568">
        <f t="shared" si="256"/>
        <v>8913957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>x</v>
      </c>
      <c r="AB2076" s="854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255"/>
        <v>8</v>
      </c>
      <c r="C2077" s="37">
        <f t="shared" si="257"/>
        <v>41859</v>
      </c>
      <c r="D2077" s="37" t="s">
        <v>1384</v>
      </c>
      <c r="E2077" s="730">
        <v>41859</v>
      </c>
      <c r="F2077" s="192" t="s">
        <v>623</v>
      </c>
      <c r="G2077" s="468" t="s">
        <v>620</v>
      </c>
      <c r="H2077" s="7" t="s">
        <v>1377</v>
      </c>
      <c r="I2077" s="256">
        <v>1440</v>
      </c>
      <c r="J2077" s="256">
        <v>9224.1493214470484</v>
      </c>
      <c r="K2077" s="568">
        <f t="shared" si="256"/>
        <v>13282775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>x</v>
      </c>
      <c r="AB2077" s="854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255"/>
        <v>8</v>
      </c>
      <c r="C2078" s="37">
        <f t="shared" si="257"/>
        <v>41859</v>
      </c>
      <c r="D2078" s="37" t="s">
        <v>1384</v>
      </c>
      <c r="E2078" s="730">
        <v>41859</v>
      </c>
      <c r="F2078" s="192" t="s">
        <v>601</v>
      </c>
      <c r="G2078" s="468" t="s">
        <v>620</v>
      </c>
      <c r="H2078" s="7" t="s">
        <v>1377</v>
      </c>
      <c r="I2078" s="256">
        <v>160</v>
      </c>
      <c r="J2078" s="256">
        <v>10366.964281626329</v>
      </c>
      <c r="K2078" s="568">
        <f t="shared" si="256"/>
        <v>1658714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>x</v>
      </c>
      <c r="AB2078" s="854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255"/>
        <v>8</v>
      </c>
      <c r="C2079" s="37">
        <f t="shared" si="257"/>
        <v>41859</v>
      </c>
      <c r="D2079" s="37" t="s">
        <v>1384</v>
      </c>
      <c r="E2079" s="730">
        <v>41859</v>
      </c>
      <c r="F2079" s="192" t="s">
        <v>624</v>
      </c>
      <c r="G2079" s="468" t="s">
        <v>620</v>
      </c>
      <c r="H2079" s="7" t="s">
        <v>1377</v>
      </c>
      <c r="I2079" s="256">
        <v>4400</v>
      </c>
      <c r="J2079" s="256">
        <v>489.77784007683448</v>
      </c>
      <c r="K2079" s="568">
        <f t="shared" si="256"/>
        <v>2155022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>x</v>
      </c>
      <c r="AB2079" s="854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255"/>
        <v>8</v>
      </c>
      <c r="C2080" s="37">
        <f t="shared" si="257"/>
        <v>41863</v>
      </c>
      <c r="D2080" s="37" t="s">
        <v>1384</v>
      </c>
      <c r="E2080" s="730">
        <v>41863</v>
      </c>
      <c r="F2080" s="192" t="s">
        <v>460</v>
      </c>
      <c r="G2080" s="468" t="s">
        <v>625</v>
      </c>
      <c r="H2080" s="7" t="s">
        <v>1377</v>
      </c>
      <c r="I2080" s="256">
        <v>1043</v>
      </c>
      <c r="J2080" s="256">
        <v>7509.9268811781294</v>
      </c>
      <c r="K2080" s="568">
        <f t="shared" si="256"/>
        <v>7832854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>x</v>
      </c>
      <c r="AB2080" s="854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255"/>
        <v>8</v>
      </c>
      <c r="C2081" s="37">
        <f t="shared" si="257"/>
        <v>41864</v>
      </c>
      <c r="D2081" s="37" t="s">
        <v>1384</v>
      </c>
      <c r="E2081" s="730">
        <v>41864</v>
      </c>
      <c r="F2081" s="192" t="s">
        <v>437</v>
      </c>
      <c r="G2081" s="468" t="s">
        <v>626</v>
      </c>
      <c r="H2081" s="7" t="s">
        <v>1377</v>
      </c>
      <c r="I2081" s="256">
        <v>650</v>
      </c>
      <c r="J2081" s="256">
        <v>7754.8158012165459</v>
      </c>
      <c r="K2081" s="568">
        <f t="shared" si="256"/>
        <v>5040630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>x</v>
      </c>
      <c r="AB2081" s="854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255"/>
        <v>8</v>
      </c>
      <c r="C2082" s="37">
        <f t="shared" si="257"/>
        <v>41865</v>
      </c>
      <c r="D2082" s="37" t="s">
        <v>1384</v>
      </c>
      <c r="E2082" s="730">
        <v>41865</v>
      </c>
      <c r="F2082" s="192" t="s">
        <v>495</v>
      </c>
      <c r="G2082" s="468" t="s">
        <v>627</v>
      </c>
      <c r="H2082" s="7" t="s">
        <v>1377</v>
      </c>
      <c r="I2082" s="256">
        <v>208</v>
      </c>
      <c r="J2082" s="256">
        <v>7101.7786811141004</v>
      </c>
      <c r="K2082" s="568">
        <f t="shared" si="256"/>
        <v>1477170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>x</v>
      </c>
      <c r="AB2082" s="854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255"/>
        <v>8</v>
      </c>
      <c r="C2083" s="37">
        <f t="shared" si="257"/>
        <v>41865</v>
      </c>
      <c r="D2083" s="37" t="s">
        <v>1384</v>
      </c>
      <c r="E2083" s="730">
        <v>41865</v>
      </c>
      <c r="F2083" s="192" t="s">
        <v>513</v>
      </c>
      <c r="G2083" s="468" t="s">
        <v>627</v>
      </c>
      <c r="H2083" s="7" t="s">
        <v>1377</v>
      </c>
      <c r="I2083" s="256">
        <v>320</v>
      </c>
      <c r="J2083" s="256">
        <v>5714.0748008964019</v>
      </c>
      <c r="K2083" s="568">
        <f t="shared" si="256"/>
        <v>1828504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>x</v>
      </c>
      <c r="AB2083" s="854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255"/>
        <v>8</v>
      </c>
      <c r="C2084" s="37">
        <f t="shared" si="257"/>
        <v>41865</v>
      </c>
      <c r="D2084" s="37" t="s">
        <v>1384</v>
      </c>
      <c r="E2084" s="730">
        <v>41865</v>
      </c>
      <c r="F2084" s="192" t="s">
        <v>587</v>
      </c>
      <c r="G2084" s="468" t="s">
        <v>628</v>
      </c>
      <c r="H2084" s="7" t="s">
        <v>1377</v>
      </c>
      <c r="I2084" s="256">
        <v>740</v>
      </c>
      <c r="J2084" s="256">
        <v>10122.075361587913</v>
      </c>
      <c r="K2084" s="568">
        <f t="shared" si="256"/>
        <v>7490336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>x</v>
      </c>
      <c r="AB2084" s="854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255"/>
        <v>8</v>
      </c>
      <c r="C2085" s="37">
        <f t="shared" si="257"/>
        <v>41866</v>
      </c>
      <c r="D2085" s="37" t="s">
        <v>1384</v>
      </c>
      <c r="E2085" s="730">
        <v>41866</v>
      </c>
      <c r="F2085" s="189" t="s">
        <v>629</v>
      </c>
      <c r="G2085" s="40" t="s">
        <v>630</v>
      </c>
      <c r="H2085" s="7" t="s">
        <v>1377</v>
      </c>
      <c r="I2085" s="256">
        <v>100</v>
      </c>
      <c r="J2085" s="256">
        <v>4897.7784007683449</v>
      </c>
      <c r="K2085" s="568">
        <f t="shared" si="256"/>
        <v>489778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>x</v>
      </c>
      <c r="AB2085" s="854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255"/>
        <v>8</v>
      </c>
      <c r="C2086" s="37">
        <f t="shared" si="257"/>
        <v>41866</v>
      </c>
      <c r="D2086" s="37" t="s">
        <v>1384</v>
      </c>
      <c r="E2086" s="730">
        <v>41866</v>
      </c>
      <c r="F2086" s="40" t="s">
        <v>524</v>
      </c>
      <c r="G2086" s="40" t="s">
        <v>630</v>
      </c>
      <c r="H2086" s="7" t="s">
        <v>1377</v>
      </c>
      <c r="I2086" s="256">
        <v>120</v>
      </c>
      <c r="J2086" s="256">
        <v>4979.4080407811507</v>
      </c>
      <c r="K2086" s="568">
        <f t="shared" si="256"/>
        <v>597529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>x</v>
      </c>
      <c r="AB2086" s="854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255"/>
        <v>8</v>
      </c>
      <c r="C2087" s="37">
        <f t="shared" si="257"/>
        <v>41866</v>
      </c>
      <c r="D2087" s="37" t="s">
        <v>1384</v>
      </c>
      <c r="E2087" s="730">
        <v>41866</v>
      </c>
      <c r="F2087" s="40" t="s">
        <v>631</v>
      </c>
      <c r="G2087" s="40" t="s">
        <v>630</v>
      </c>
      <c r="H2087" s="7" t="s">
        <v>1377</v>
      </c>
      <c r="I2087" s="256">
        <v>470</v>
      </c>
      <c r="J2087" s="256">
        <v>3591.7041605634531</v>
      </c>
      <c r="K2087" s="568">
        <f t="shared" si="256"/>
        <v>1688101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>x</v>
      </c>
      <c r="AB2087" s="854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255"/>
        <v>8</v>
      </c>
      <c r="C2088" s="37">
        <f t="shared" si="257"/>
        <v>41866</v>
      </c>
      <c r="D2088" s="37" t="s">
        <v>1384</v>
      </c>
      <c r="E2088" s="730">
        <v>41866</v>
      </c>
      <c r="F2088" s="443" t="s">
        <v>632</v>
      </c>
      <c r="G2088" s="40" t="s">
        <v>630</v>
      </c>
      <c r="H2088" s="7" t="s">
        <v>1377</v>
      </c>
      <c r="I2088" s="256">
        <v>350</v>
      </c>
      <c r="J2088" s="256">
        <v>3836.59308060187</v>
      </c>
      <c r="K2088" s="568">
        <f t="shared" si="256"/>
        <v>1342808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>x</v>
      </c>
      <c r="AB2088" s="854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255"/>
        <v>8</v>
      </c>
      <c r="C2089" s="37">
        <f t="shared" si="257"/>
        <v>41866</v>
      </c>
      <c r="D2089" s="37" t="s">
        <v>1384</v>
      </c>
      <c r="E2089" s="730">
        <v>41866</v>
      </c>
      <c r="F2089" s="40" t="s">
        <v>633</v>
      </c>
      <c r="G2089" s="40" t="s">
        <v>630</v>
      </c>
      <c r="H2089" s="7" t="s">
        <v>1377</v>
      </c>
      <c r="I2089" s="256">
        <v>330</v>
      </c>
      <c r="J2089" s="256">
        <v>6285.4822809860425</v>
      </c>
      <c r="K2089" s="568">
        <f t="shared" si="256"/>
        <v>2074209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>x</v>
      </c>
      <c r="AB2089" s="854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255"/>
        <v>8</v>
      </c>
      <c r="C2090" s="37">
        <f t="shared" si="257"/>
        <v>41866</v>
      </c>
      <c r="D2090" s="37" t="s">
        <v>1384</v>
      </c>
      <c r="E2090" s="730">
        <v>41866</v>
      </c>
      <c r="F2090" s="40" t="s">
        <v>424</v>
      </c>
      <c r="G2090" s="40" t="s">
        <v>634</v>
      </c>
      <c r="H2090" s="7" t="s">
        <v>1377</v>
      </c>
      <c r="I2090" s="256">
        <v>488</v>
      </c>
      <c r="J2090" s="256">
        <v>7918.0750812421575</v>
      </c>
      <c r="K2090" s="568">
        <f t="shared" si="256"/>
        <v>3864021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6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>x</v>
      </c>
      <c r="AB2090" s="854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255"/>
        <v>8</v>
      </c>
      <c r="C2091" s="37">
        <f t="shared" si="257"/>
        <v>41869</v>
      </c>
      <c r="D2091" s="37" t="s">
        <v>1384</v>
      </c>
      <c r="E2091" s="730">
        <v>41869</v>
      </c>
      <c r="F2091" s="40" t="s">
        <v>635</v>
      </c>
      <c r="G2091" s="40" t="s">
        <v>636</v>
      </c>
      <c r="H2091" s="7" t="s">
        <v>1377</v>
      </c>
      <c r="I2091" s="256">
        <v>200</v>
      </c>
      <c r="J2091" s="256">
        <v>5714.0748008964019</v>
      </c>
      <c r="K2091" s="568">
        <f t="shared" si="256"/>
        <v>1142815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6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>x</v>
      </c>
      <c r="AB2091" s="854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255"/>
        <v>8</v>
      </c>
      <c r="C2092" s="37">
        <f t="shared" si="257"/>
        <v>41871</v>
      </c>
      <c r="D2092" s="37" t="s">
        <v>1384</v>
      </c>
      <c r="E2092" s="730">
        <v>41871</v>
      </c>
      <c r="F2092" s="296" t="s">
        <v>587</v>
      </c>
      <c r="G2092" s="40" t="s">
        <v>637</v>
      </c>
      <c r="H2092" s="7" t="s">
        <v>1377</v>
      </c>
      <c r="I2092" s="256">
        <v>350</v>
      </c>
      <c r="J2092" s="256">
        <v>10122.075361587913</v>
      </c>
      <c r="K2092" s="568">
        <f t="shared" si="256"/>
        <v>3542726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6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>x</v>
      </c>
      <c r="AB2092" s="854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255"/>
        <v>8</v>
      </c>
      <c r="C2093" s="37">
        <f t="shared" si="257"/>
        <v>41871</v>
      </c>
      <c r="D2093" s="37" t="s">
        <v>1384</v>
      </c>
      <c r="E2093" s="730">
        <v>41871</v>
      </c>
      <c r="F2093" s="189" t="s">
        <v>638</v>
      </c>
      <c r="G2093" s="40" t="s">
        <v>639</v>
      </c>
      <c r="H2093" s="7" t="s">
        <v>1377</v>
      </c>
      <c r="I2093" s="256">
        <v>500</v>
      </c>
      <c r="J2093" s="256">
        <v>8816.0011213830221</v>
      </c>
      <c r="K2093" s="568">
        <f t="shared" si="256"/>
        <v>4408001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6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>x</v>
      </c>
      <c r="AB2093" s="854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255"/>
        <v>8</v>
      </c>
      <c r="C2094" s="37">
        <f t="shared" si="257"/>
        <v>41871</v>
      </c>
      <c r="D2094" s="37" t="s">
        <v>1384</v>
      </c>
      <c r="E2094" s="191">
        <v>41871</v>
      </c>
      <c r="F2094" s="192" t="s">
        <v>640</v>
      </c>
      <c r="G2094" s="468" t="s">
        <v>641</v>
      </c>
      <c r="H2094" s="7" t="s">
        <v>1377</v>
      </c>
      <c r="I2094" s="256">
        <v>550</v>
      </c>
      <c r="J2094" s="256">
        <v>4163.1116406530937</v>
      </c>
      <c r="K2094" s="568">
        <f t="shared" si="256"/>
        <v>2289711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6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>x</v>
      </c>
      <c r="AB2094" s="854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255"/>
        <v>8</v>
      </c>
      <c r="C2095" s="37">
        <f t="shared" si="257"/>
        <v>41872</v>
      </c>
      <c r="D2095" s="37" t="s">
        <v>1384</v>
      </c>
      <c r="E2095" s="191">
        <v>41872</v>
      </c>
      <c r="F2095" s="192" t="s">
        <v>484</v>
      </c>
      <c r="G2095" s="468" t="s">
        <v>643</v>
      </c>
      <c r="H2095" s="7" t="s">
        <v>1377</v>
      </c>
      <c r="I2095" s="256">
        <v>196</v>
      </c>
      <c r="J2095" s="256">
        <v>10938.371761715971</v>
      </c>
      <c r="K2095" s="568">
        <f t="shared" si="256"/>
        <v>2143921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>x</v>
      </c>
      <c r="AB2095" s="854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255"/>
        <v>8</v>
      </c>
      <c r="C2096" s="37">
        <f t="shared" si="257"/>
        <v>41872</v>
      </c>
      <c r="D2096" s="37" t="s">
        <v>1384</v>
      </c>
      <c r="E2096" s="191">
        <v>41872</v>
      </c>
      <c r="F2096" s="192" t="s">
        <v>569</v>
      </c>
      <c r="G2096" s="468" t="s">
        <v>643</v>
      </c>
      <c r="H2096" s="7" t="s">
        <v>1377</v>
      </c>
      <c r="I2096" s="256">
        <v>200</v>
      </c>
      <c r="J2096" s="256">
        <v>7918.0750812421575</v>
      </c>
      <c r="K2096" s="568">
        <f t="shared" si="256"/>
        <v>1583615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6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>x</v>
      </c>
      <c r="AB2096" s="854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255"/>
        <v>8</v>
      </c>
      <c r="C2097" s="37">
        <f t="shared" si="257"/>
        <v>41873</v>
      </c>
      <c r="D2097" s="37" t="s">
        <v>1384</v>
      </c>
      <c r="E2097" s="191">
        <v>41873</v>
      </c>
      <c r="F2097" s="192" t="s">
        <v>467</v>
      </c>
      <c r="G2097" s="468" t="s">
        <v>644</v>
      </c>
      <c r="H2097" s="7" t="s">
        <v>1377</v>
      </c>
      <c r="I2097" s="256">
        <v>1480</v>
      </c>
      <c r="J2097" s="256">
        <v>4244.7412806658995</v>
      </c>
      <c r="K2097" s="568">
        <f t="shared" si="256"/>
        <v>6282217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>x</v>
      </c>
      <c r="AB2097" s="854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255"/>
        <v>8</v>
      </c>
      <c r="C2098" s="37">
        <f t="shared" si="257"/>
        <v>41873</v>
      </c>
      <c r="D2098" s="37" t="s">
        <v>1384</v>
      </c>
      <c r="E2098" s="191">
        <v>41873</v>
      </c>
      <c r="F2098" s="192" t="s">
        <v>645</v>
      </c>
      <c r="G2098" s="468" t="s">
        <v>646</v>
      </c>
      <c r="H2098" s="7" t="s">
        <v>1377</v>
      </c>
      <c r="I2098" s="256">
        <v>498</v>
      </c>
      <c r="J2098" s="256">
        <v>23590.965963700863</v>
      </c>
      <c r="K2098" s="568">
        <f t="shared" si="256"/>
        <v>11748301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>x</v>
      </c>
      <c r="AB2098" s="854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255"/>
        <v>8</v>
      </c>
      <c r="C2099" s="37">
        <f t="shared" si="257"/>
        <v>41873</v>
      </c>
      <c r="D2099" s="37" t="s">
        <v>1384</v>
      </c>
      <c r="E2099" s="191">
        <v>41873</v>
      </c>
      <c r="F2099" s="192" t="s">
        <v>648</v>
      </c>
      <c r="G2099" s="468" t="s">
        <v>646</v>
      </c>
      <c r="H2099" s="7" t="s">
        <v>1377</v>
      </c>
      <c r="I2099" s="256">
        <v>690</v>
      </c>
      <c r="J2099" s="256">
        <v>22693.039923559998</v>
      </c>
      <c r="K2099" s="568">
        <f t="shared" si="256"/>
        <v>15658198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>x</v>
      </c>
      <c r="AB2099" s="854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255"/>
        <v>8</v>
      </c>
      <c r="C2100" s="37">
        <f t="shared" si="257"/>
        <v>41873</v>
      </c>
      <c r="D2100" s="37" t="s">
        <v>1384</v>
      </c>
      <c r="E2100" s="191">
        <v>41873</v>
      </c>
      <c r="F2100" s="192" t="s">
        <v>648</v>
      </c>
      <c r="G2100" s="468" t="s">
        <v>646</v>
      </c>
      <c r="H2100" s="7" t="s">
        <v>1377</v>
      </c>
      <c r="I2100" s="256">
        <v>130</v>
      </c>
      <c r="J2100" s="256">
        <v>22693.039923559998</v>
      </c>
      <c r="K2100" s="568">
        <f t="shared" si="256"/>
        <v>2950095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>x</v>
      </c>
      <c r="AB2100" s="854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255"/>
        <v>8</v>
      </c>
      <c r="C2101" s="37">
        <f t="shared" si="257"/>
        <v>41873</v>
      </c>
      <c r="D2101" s="37" t="s">
        <v>1384</v>
      </c>
      <c r="E2101" s="191">
        <v>41873</v>
      </c>
      <c r="F2101" s="192" t="s">
        <v>649</v>
      </c>
      <c r="G2101" s="468" t="s">
        <v>646</v>
      </c>
      <c r="H2101" s="7" t="s">
        <v>1377</v>
      </c>
      <c r="I2101" s="256">
        <v>1000</v>
      </c>
      <c r="J2101" s="256">
        <v>14121.927722215394</v>
      </c>
      <c r="K2101" s="568">
        <f t="shared" si="256"/>
        <v>14121928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6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>x</v>
      </c>
      <c r="AB2101" s="854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255"/>
        <v>8</v>
      </c>
      <c r="C2102" s="37">
        <f t="shared" si="257"/>
        <v>41873</v>
      </c>
      <c r="D2102" s="37" t="s">
        <v>1384</v>
      </c>
      <c r="E2102" s="191">
        <v>41873</v>
      </c>
      <c r="F2102" s="192" t="s">
        <v>650</v>
      </c>
      <c r="G2102" s="468" t="s">
        <v>646</v>
      </c>
      <c r="H2102" s="7" t="s">
        <v>1377</v>
      </c>
      <c r="I2102" s="256">
        <v>425</v>
      </c>
      <c r="J2102" s="256">
        <v>22774.669563572803</v>
      </c>
      <c r="K2102" s="568">
        <f t="shared" si="256"/>
        <v>9679235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6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>x</v>
      </c>
      <c r="AB2102" s="854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255"/>
        <v>8</v>
      </c>
      <c r="C2103" s="37">
        <f t="shared" si="257"/>
        <v>41873</v>
      </c>
      <c r="D2103" s="37" t="s">
        <v>1384</v>
      </c>
      <c r="E2103" s="191">
        <v>41873</v>
      </c>
      <c r="F2103" s="192" t="s">
        <v>650</v>
      </c>
      <c r="G2103" s="468" t="s">
        <v>646</v>
      </c>
      <c r="H2103" s="7" t="s">
        <v>1377</v>
      </c>
      <c r="I2103" s="256">
        <v>322</v>
      </c>
      <c r="J2103" s="256">
        <v>22774.669563572803</v>
      </c>
      <c r="K2103" s="568">
        <f t="shared" si="256"/>
        <v>7333444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6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>x</v>
      </c>
      <c r="AB2103" s="854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255"/>
        <v>8</v>
      </c>
      <c r="C2104" s="37">
        <f t="shared" si="257"/>
        <v>41876</v>
      </c>
      <c r="D2104" s="37" t="s">
        <v>1384</v>
      </c>
      <c r="E2104" s="191">
        <v>41876</v>
      </c>
      <c r="F2104" s="192" t="s">
        <v>1211</v>
      </c>
      <c r="G2104" s="468" t="s">
        <v>652</v>
      </c>
      <c r="H2104" s="7" t="s">
        <v>1377</v>
      </c>
      <c r="I2104" s="256">
        <v>600</v>
      </c>
      <c r="J2104" s="256">
        <v>9305.7789614598551</v>
      </c>
      <c r="K2104" s="568">
        <f t="shared" si="256"/>
        <v>5583467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6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>x</v>
      </c>
      <c r="AB2104" s="854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255"/>
        <v>8</v>
      </c>
      <c r="C2105" s="37">
        <f t="shared" si="257"/>
        <v>41876</v>
      </c>
      <c r="D2105" s="37" t="s">
        <v>1384</v>
      </c>
      <c r="E2105" s="191">
        <v>41876</v>
      </c>
      <c r="F2105" s="192" t="s">
        <v>446</v>
      </c>
      <c r="G2105" s="468" t="s">
        <v>652</v>
      </c>
      <c r="H2105" s="7" t="s">
        <v>1377</v>
      </c>
      <c r="I2105" s="256">
        <v>1200</v>
      </c>
      <c r="J2105" s="256">
        <v>816.29640012805748</v>
      </c>
      <c r="K2105" s="568">
        <f t="shared" si="256"/>
        <v>979556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>x</v>
      </c>
      <c r="AB2105" s="854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255"/>
        <v>8</v>
      </c>
      <c r="C2106" s="37">
        <f t="shared" si="257"/>
        <v>41876</v>
      </c>
      <c r="D2106" s="37" t="s">
        <v>1384</v>
      </c>
      <c r="E2106" s="191">
        <v>41876</v>
      </c>
      <c r="F2106" s="192" t="s">
        <v>653</v>
      </c>
      <c r="G2106" s="468" t="s">
        <v>654</v>
      </c>
      <c r="H2106" s="7" t="s">
        <v>1377</v>
      </c>
      <c r="I2106" s="256">
        <v>8160</v>
      </c>
      <c r="J2106" s="256">
        <v>6040.5933609476251</v>
      </c>
      <c r="K2106" s="568">
        <f t="shared" si="256"/>
        <v>49291242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>x</v>
      </c>
      <c r="AB2106" s="854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ref="B2107:B2170" si="258">IF(C2107&lt;&gt;"",MONTH(C2107),"")</f>
        <v>8</v>
      </c>
      <c r="C2107" s="37">
        <f t="shared" si="257"/>
        <v>41876</v>
      </c>
      <c r="D2107" s="37" t="s">
        <v>1384</v>
      </c>
      <c r="E2107" s="191">
        <v>41876</v>
      </c>
      <c r="F2107" s="192" t="s">
        <v>656</v>
      </c>
      <c r="G2107" s="468" t="s">
        <v>657</v>
      </c>
      <c r="H2107" s="7" t="s">
        <v>1377</v>
      </c>
      <c r="I2107" s="256">
        <v>626</v>
      </c>
      <c r="J2107" s="256">
        <v>11264.890321767192</v>
      </c>
      <c r="K2107" s="568">
        <f t="shared" ref="K2107:K2170" si="259">ROUND(I2107*J2107,0)</f>
        <v>7051821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>x</v>
      </c>
      <c r="AB2107" s="854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258"/>
        <v>8</v>
      </c>
      <c r="C2108" s="37">
        <f t="shared" ref="C2108:C2171" si="260">E2108</f>
        <v>41876</v>
      </c>
      <c r="D2108" s="37" t="s">
        <v>1384</v>
      </c>
      <c r="E2108" s="191">
        <v>41876</v>
      </c>
      <c r="F2108" s="192" t="s">
        <v>658</v>
      </c>
      <c r="G2108" s="468" t="s">
        <v>657</v>
      </c>
      <c r="H2108" s="7" t="s">
        <v>1377</v>
      </c>
      <c r="I2108" s="256">
        <v>160</v>
      </c>
      <c r="J2108" s="256">
        <v>8244.5936412933806</v>
      </c>
      <c r="K2108" s="568">
        <f t="shared" si="259"/>
        <v>1319135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>x</v>
      </c>
      <c r="AB2108" s="854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258"/>
        <v>8</v>
      </c>
      <c r="C2109" s="37">
        <f t="shared" si="260"/>
        <v>41876</v>
      </c>
      <c r="D2109" s="37" t="s">
        <v>1384</v>
      </c>
      <c r="E2109" s="191">
        <v>41876</v>
      </c>
      <c r="F2109" s="192" t="s">
        <v>624</v>
      </c>
      <c r="G2109" s="468" t="s">
        <v>657</v>
      </c>
      <c r="H2109" s="7" t="s">
        <v>1377</v>
      </c>
      <c r="I2109" s="256">
        <v>1900</v>
      </c>
      <c r="J2109" s="256">
        <v>489.77784007683448</v>
      </c>
      <c r="K2109" s="568">
        <f t="shared" si="259"/>
        <v>930578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>x</v>
      </c>
      <c r="AB2109" s="854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258"/>
        <v>8</v>
      </c>
      <c r="C2110" s="37">
        <f t="shared" si="260"/>
        <v>41877</v>
      </c>
      <c r="D2110" s="37" t="s">
        <v>1384</v>
      </c>
      <c r="E2110" s="191">
        <v>41877</v>
      </c>
      <c r="F2110" s="192" t="s">
        <v>601</v>
      </c>
      <c r="G2110" s="468" t="s">
        <v>659</v>
      </c>
      <c r="H2110" s="7" t="s">
        <v>1377</v>
      </c>
      <c r="I2110" s="256">
        <v>612</v>
      </c>
      <c r="J2110" s="256">
        <v>10366.964281626329</v>
      </c>
      <c r="K2110" s="568">
        <f t="shared" si="259"/>
        <v>6344582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>x</v>
      </c>
      <c r="AB2110" s="854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258"/>
        <v>8</v>
      </c>
      <c r="C2111" s="37">
        <f t="shared" si="260"/>
        <v>41877</v>
      </c>
      <c r="D2111" s="37" t="s">
        <v>1384</v>
      </c>
      <c r="E2111" s="191">
        <v>41877</v>
      </c>
      <c r="F2111" s="192" t="s">
        <v>604</v>
      </c>
      <c r="G2111" s="468" t="s">
        <v>659</v>
      </c>
      <c r="H2111" s="7" t="s">
        <v>1377</v>
      </c>
      <c r="I2111" s="256">
        <v>267</v>
      </c>
      <c r="J2111" s="256">
        <v>9469.0382414854666</v>
      </c>
      <c r="K2111" s="568">
        <f t="shared" si="259"/>
        <v>2528233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>x</v>
      </c>
      <c r="AB2111" s="854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258"/>
        <v>8</v>
      </c>
      <c r="C2112" s="37">
        <f t="shared" si="260"/>
        <v>41877</v>
      </c>
      <c r="D2112" s="37" t="s">
        <v>1384</v>
      </c>
      <c r="E2112" s="191">
        <v>41877</v>
      </c>
      <c r="F2112" s="192" t="s">
        <v>601</v>
      </c>
      <c r="G2112" s="468" t="s">
        <v>659</v>
      </c>
      <c r="H2112" s="7" t="s">
        <v>1377</v>
      </c>
      <c r="I2112" s="256">
        <v>77</v>
      </c>
      <c r="J2112" s="256">
        <v>10366.964281626329</v>
      </c>
      <c r="K2112" s="568">
        <f t="shared" si="259"/>
        <v>798256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>x</v>
      </c>
      <c r="AB2112" s="854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258"/>
        <v>8</v>
      </c>
      <c r="C2113" s="37">
        <f t="shared" si="260"/>
        <v>41877</v>
      </c>
      <c r="D2113" s="37" t="s">
        <v>1384</v>
      </c>
      <c r="E2113" s="730">
        <v>41877</v>
      </c>
      <c r="F2113" s="40" t="s">
        <v>624</v>
      </c>
      <c r="G2113" s="40" t="s">
        <v>659</v>
      </c>
      <c r="H2113" s="7" t="s">
        <v>1377</v>
      </c>
      <c r="I2113" s="256">
        <v>2400</v>
      </c>
      <c r="J2113" s="256">
        <v>489.77784007683448</v>
      </c>
      <c r="K2113" s="568">
        <f t="shared" si="259"/>
        <v>1175467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>x</v>
      </c>
      <c r="AB2113" s="854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258"/>
        <v>8</v>
      </c>
      <c r="C2114" s="37">
        <f t="shared" si="260"/>
        <v>41878</v>
      </c>
      <c r="D2114" s="37" t="s">
        <v>1384</v>
      </c>
      <c r="E2114" s="730">
        <v>41878</v>
      </c>
      <c r="F2114" s="40" t="s">
        <v>516</v>
      </c>
      <c r="G2114" s="40" t="s">
        <v>660</v>
      </c>
      <c r="H2114" s="7" t="s">
        <v>1377</v>
      </c>
      <c r="I2114" s="256">
        <v>981</v>
      </c>
      <c r="J2114" s="256">
        <v>9387.4086014726599</v>
      </c>
      <c r="K2114" s="568">
        <f t="shared" si="259"/>
        <v>9209048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>x</v>
      </c>
      <c r="AB2114" s="854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258"/>
        <v>8</v>
      </c>
      <c r="C2115" s="37">
        <f t="shared" si="260"/>
        <v>41879</v>
      </c>
      <c r="D2115" s="37" t="s">
        <v>1384</v>
      </c>
      <c r="E2115" s="730">
        <v>41879</v>
      </c>
      <c r="F2115" s="40" t="s">
        <v>1204</v>
      </c>
      <c r="G2115" s="40" t="s">
        <v>661</v>
      </c>
      <c r="H2115" s="7" t="s">
        <v>1377</v>
      </c>
      <c r="I2115" s="256">
        <v>1200</v>
      </c>
      <c r="J2115" s="256">
        <v>1306.074240204892</v>
      </c>
      <c r="K2115" s="568">
        <f t="shared" si="259"/>
        <v>1567289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>x</v>
      </c>
      <c r="AB2115" s="854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258"/>
        <v>8</v>
      </c>
      <c r="C2116" s="37">
        <f t="shared" si="260"/>
        <v>41879</v>
      </c>
      <c r="D2116" s="37" t="s">
        <v>1384</v>
      </c>
      <c r="E2116" s="730">
        <v>41879</v>
      </c>
      <c r="F2116" s="40" t="s">
        <v>1205</v>
      </c>
      <c r="G2116" s="40" t="s">
        <v>661</v>
      </c>
      <c r="H2116" s="7" t="s">
        <v>1377</v>
      </c>
      <c r="I2116" s="256">
        <v>400</v>
      </c>
      <c r="J2116" s="256">
        <v>3836.59308060187</v>
      </c>
      <c r="K2116" s="568">
        <f t="shared" si="259"/>
        <v>1534637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6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>x</v>
      </c>
      <c r="AB2116" s="854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258"/>
        <v>9</v>
      </c>
      <c r="C2117" s="37">
        <f t="shared" si="260"/>
        <v>41883</v>
      </c>
      <c r="D2117" s="37" t="s">
        <v>1384</v>
      </c>
      <c r="E2117" s="730">
        <v>41883</v>
      </c>
      <c r="F2117" s="40" t="s">
        <v>665</v>
      </c>
      <c r="G2117" s="40" t="s">
        <v>666</v>
      </c>
      <c r="H2117" s="7" t="s">
        <v>1377</v>
      </c>
      <c r="I2117" s="256">
        <v>509</v>
      </c>
      <c r="J2117" s="256">
        <v>6367.1119209988483</v>
      </c>
      <c r="K2117" s="568">
        <f t="shared" si="259"/>
        <v>3240860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>x</v>
      </c>
      <c r="AB2117" s="854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258"/>
        <v>9</v>
      </c>
      <c r="C2118" s="37">
        <f t="shared" si="260"/>
        <v>41883</v>
      </c>
      <c r="D2118" s="37" t="s">
        <v>1384</v>
      </c>
      <c r="E2118" s="730">
        <v>41883</v>
      </c>
      <c r="F2118" s="40" t="s">
        <v>667</v>
      </c>
      <c r="G2118" s="40" t="s">
        <v>666</v>
      </c>
      <c r="H2118" s="7" t="s">
        <v>1377</v>
      </c>
      <c r="I2118" s="256">
        <v>210</v>
      </c>
      <c r="J2118" s="256">
        <v>6040.5933609476251</v>
      </c>
      <c r="K2118" s="568">
        <f t="shared" si="259"/>
        <v>1268525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>x</v>
      </c>
      <c r="AB2118" s="854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258"/>
        <v>9</v>
      </c>
      <c r="C2119" s="37">
        <f t="shared" si="260"/>
        <v>41883</v>
      </c>
      <c r="D2119" s="37" t="s">
        <v>1384</v>
      </c>
      <c r="E2119" s="730">
        <v>41883</v>
      </c>
      <c r="F2119" s="40" t="s">
        <v>601</v>
      </c>
      <c r="G2119" s="40" t="s">
        <v>668</v>
      </c>
      <c r="H2119" s="7" t="s">
        <v>1377</v>
      </c>
      <c r="I2119" s="256">
        <v>1116</v>
      </c>
      <c r="J2119" s="256">
        <v>10366.964281626329</v>
      </c>
      <c r="K2119" s="568">
        <f t="shared" si="259"/>
        <v>11569532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>x</v>
      </c>
      <c r="AB2119" s="854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258"/>
        <v>9</v>
      </c>
      <c r="C2120" s="37">
        <f t="shared" si="260"/>
        <v>41883</v>
      </c>
      <c r="D2120" s="37" t="s">
        <v>1384</v>
      </c>
      <c r="E2120" s="730">
        <v>41883</v>
      </c>
      <c r="F2120" s="40" t="s">
        <v>663</v>
      </c>
      <c r="G2120" s="40" t="s">
        <v>668</v>
      </c>
      <c r="H2120" s="7" t="s">
        <v>1377</v>
      </c>
      <c r="I2120" s="256">
        <v>1273</v>
      </c>
      <c r="J2120" s="256">
        <v>7836.4454412293517</v>
      </c>
      <c r="K2120" s="568">
        <f t="shared" si="259"/>
        <v>9975795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>x</v>
      </c>
      <c r="AB2120" s="854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258"/>
        <v>9</v>
      </c>
      <c r="C2121" s="37">
        <f t="shared" si="260"/>
        <v>41883</v>
      </c>
      <c r="D2121" s="37" t="s">
        <v>1384</v>
      </c>
      <c r="E2121" s="730">
        <v>41883</v>
      </c>
      <c r="F2121" s="40" t="s">
        <v>604</v>
      </c>
      <c r="G2121" s="40" t="s">
        <v>668</v>
      </c>
      <c r="H2121" s="7" t="s">
        <v>1377</v>
      </c>
      <c r="I2121" s="256">
        <v>373</v>
      </c>
      <c r="J2121" s="256">
        <v>9469.0382414854666</v>
      </c>
      <c r="K2121" s="568">
        <f t="shared" si="259"/>
        <v>3531951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>x</v>
      </c>
      <c r="AB2121" s="854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258"/>
        <v>9</v>
      </c>
      <c r="C2122" s="37">
        <f t="shared" si="260"/>
        <v>41883</v>
      </c>
      <c r="D2122" s="37" t="s">
        <v>1384</v>
      </c>
      <c r="E2122" s="730">
        <v>41883</v>
      </c>
      <c r="F2122" s="40" t="s">
        <v>664</v>
      </c>
      <c r="G2122" s="40" t="s">
        <v>668</v>
      </c>
      <c r="H2122" s="7" t="s">
        <v>1377</v>
      </c>
      <c r="I2122" s="256">
        <v>176</v>
      </c>
      <c r="J2122" s="256">
        <v>10856.742121703164</v>
      </c>
      <c r="K2122" s="568">
        <f t="shared" si="259"/>
        <v>1910787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6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>x</v>
      </c>
      <c r="AB2122" s="854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258"/>
        <v>9</v>
      </c>
      <c r="C2123" s="37">
        <f t="shared" si="260"/>
        <v>41883</v>
      </c>
      <c r="D2123" s="37" t="s">
        <v>1384</v>
      </c>
      <c r="E2123" s="730">
        <v>41883</v>
      </c>
      <c r="F2123" s="40" t="s">
        <v>624</v>
      </c>
      <c r="G2123" s="40" t="s">
        <v>668</v>
      </c>
      <c r="H2123" s="7" t="s">
        <v>1377</v>
      </c>
      <c r="I2123" s="256">
        <v>4500</v>
      </c>
      <c r="J2123" s="256">
        <v>489.77784007683448</v>
      </c>
      <c r="K2123" s="568">
        <f t="shared" si="259"/>
        <v>2204000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6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>x</v>
      </c>
      <c r="AB2123" s="854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258"/>
        <v>9</v>
      </c>
      <c r="C2124" s="37">
        <f t="shared" si="260"/>
        <v>41883</v>
      </c>
      <c r="D2124" s="37" t="s">
        <v>1384</v>
      </c>
      <c r="E2124" s="730">
        <v>41883</v>
      </c>
      <c r="F2124" s="40" t="s">
        <v>669</v>
      </c>
      <c r="G2124" s="40" t="s">
        <v>670</v>
      </c>
      <c r="H2124" s="7" t="s">
        <v>1377</v>
      </c>
      <c r="I2124" s="256">
        <v>500</v>
      </c>
      <c r="J2124" s="256">
        <v>5550.8155208707913</v>
      </c>
      <c r="K2124" s="568">
        <f t="shared" si="259"/>
        <v>2775408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6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>x</v>
      </c>
      <c r="AB2124" s="854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258"/>
        <v>9</v>
      </c>
      <c r="C2125" s="37">
        <f t="shared" si="260"/>
        <v>41886</v>
      </c>
      <c r="D2125" s="37" t="s">
        <v>1384</v>
      </c>
      <c r="E2125" s="730">
        <v>41886</v>
      </c>
      <c r="F2125" s="40" t="s">
        <v>671</v>
      </c>
      <c r="G2125" s="40" t="s">
        <v>672</v>
      </c>
      <c r="H2125" s="7" t="s">
        <v>1377</v>
      </c>
      <c r="I2125" s="256">
        <v>711</v>
      </c>
      <c r="J2125" s="256">
        <v>7346.6676011525178</v>
      </c>
      <c r="K2125" s="568">
        <f t="shared" si="259"/>
        <v>5223481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>x</v>
      </c>
      <c r="AB2125" s="854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258"/>
        <v>9</v>
      </c>
      <c r="C2126" s="37">
        <f t="shared" si="260"/>
        <v>41886</v>
      </c>
      <c r="D2126" s="37" t="s">
        <v>1384</v>
      </c>
      <c r="E2126" s="730">
        <v>41886</v>
      </c>
      <c r="F2126" s="40" t="s">
        <v>484</v>
      </c>
      <c r="G2126" s="40" t="s">
        <v>674</v>
      </c>
      <c r="H2126" s="7" t="s">
        <v>1377</v>
      </c>
      <c r="I2126" s="256">
        <v>197</v>
      </c>
      <c r="J2126" s="256">
        <v>10938.371761715971</v>
      </c>
      <c r="K2126" s="568">
        <f t="shared" si="259"/>
        <v>2154859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>x</v>
      </c>
      <c r="AB2126" s="854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258"/>
        <v>9</v>
      </c>
      <c r="C2127" s="37">
        <f t="shared" si="260"/>
        <v>41886</v>
      </c>
      <c r="D2127" s="37" t="s">
        <v>1384</v>
      </c>
      <c r="E2127" s="730">
        <v>41886</v>
      </c>
      <c r="F2127" s="40" t="s">
        <v>487</v>
      </c>
      <c r="G2127" s="40" t="s">
        <v>674</v>
      </c>
      <c r="H2127" s="7" t="s">
        <v>1377</v>
      </c>
      <c r="I2127" s="256">
        <v>307</v>
      </c>
      <c r="J2127" s="256">
        <v>7265.037961139712</v>
      </c>
      <c r="K2127" s="568">
        <f t="shared" si="259"/>
        <v>2230367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6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>x</v>
      </c>
      <c r="AB2127" s="854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258"/>
        <v>9</v>
      </c>
      <c r="C2128" s="37">
        <f t="shared" si="260"/>
        <v>41890</v>
      </c>
      <c r="D2128" s="37" t="s">
        <v>1384</v>
      </c>
      <c r="E2128" s="730">
        <v>41890</v>
      </c>
      <c r="F2128" s="40" t="s">
        <v>675</v>
      </c>
      <c r="G2128" s="40" t="s">
        <v>676</v>
      </c>
      <c r="H2128" s="7" t="s">
        <v>1377</v>
      </c>
      <c r="I2128" s="256">
        <v>860</v>
      </c>
      <c r="J2128" s="256">
        <v>14774.964842317841</v>
      </c>
      <c r="K2128" s="568">
        <f t="shared" si="259"/>
        <v>12706470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6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>x</v>
      </c>
      <c r="AB2128" s="854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258"/>
        <v>9</v>
      </c>
      <c r="C2129" s="37">
        <f t="shared" si="260"/>
        <v>41890</v>
      </c>
      <c r="D2129" s="37" t="s">
        <v>1384</v>
      </c>
      <c r="E2129" s="730">
        <v>41890</v>
      </c>
      <c r="F2129" s="40" t="s">
        <v>664</v>
      </c>
      <c r="G2129" s="40" t="s">
        <v>677</v>
      </c>
      <c r="H2129" s="7" t="s">
        <v>1377</v>
      </c>
      <c r="I2129" s="256">
        <v>2153</v>
      </c>
      <c r="J2129" s="256">
        <v>10856.742121703164</v>
      </c>
      <c r="K2129" s="568">
        <f t="shared" si="259"/>
        <v>23374566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6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>x</v>
      </c>
      <c r="AB2129" s="854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258"/>
        <v>9</v>
      </c>
      <c r="C2130" s="37">
        <f t="shared" si="260"/>
        <v>41890</v>
      </c>
      <c r="D2130" s="37" t="s">
        <v>1384</v>
      </c>
      <c r="E2130" s="730">
        <v>41890</v>
      </c>
      <c r="F2130" s="40" t="s">
        <v>624</v>
      </c>
      <c r="G2130" s="40" t="s">
        <v>677</v>
      </c>
      <c r="H2130" s="7" t="s">
        <v>1377</v>
      </c>
      <c r="I2130" s="256">
        <v>2000</v>
      </c>
      <c r="J2130" s="256">
        <v>489.77784007683448</v>
      </c>
      <c r="K2130" s="568">
        <f t="shared" si="259"/>
        <v>979556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>x</v>
      </c>
      <c r="AB2130" s="854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258"/>
        <v>9</v>
      </c>
      <c r="C2131" s="37">
        <f t="shared" si="260"/>
        <v>41890</v>
      </c>
      <c r="D2131" s="37" t="s">
        <v>1384</v>
      </c>
      <c r="E2131" s="730">
        <v>41890</v>
      </c>
      <c r="F2131" s="192" t="s">
        <v>1162</v>
      </c>
      <c r="G2131" s="468" t="s">
        <v>678</v>
      </c>
      <c r="H2131" s="7" t="s">
        <v>1377</v>
      </c>
      <c r="I2131" s="256">
        <v>1000</v>
      </c>
      <c r="J2131" s="256">
        <v>816.29640012805748</v>
      </c>
      <c r="K2131" s="568">
        <f t="shared" si="259"/>
        <v>816296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6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>x</v>
      </c>
      <c r="AB2131" s="854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258"/>
        <v>9</v>
      </c>
      <c r="C2132" s="37">
        <f t="shared" si="260"/>
        <v>41894</v>
      </c>
      <c r="D2132" s="37" t="s">
        <v>1384</v>
      </c>
      <c r="E2132" s="728">
        <v>41894</v>
      </c>
      <c r="F2132" s="780" t="s">
        <v>594</v>
      </c>
      <c r="G2132" s="468" t="s">
        <v>680</v>
      </c>
      <c r="H2132" s="7" t="s">
        <v>1377</v>
      </c>
      <c r="I2132" s="256">
        <v>210</v>
      </c>
      <c r="J2132" s="256">
        <v>24407.262363828919</v>
      </c>
      <c r="K2132" s="568">
        <f t="shared" si="259"/>
        <v>5125525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6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>x</v>
      </c>
      <c r="AB2132" s="854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258"/>
        <v>9</v>
      </c>
      <c r="C2133" s="37">
        <f t="shared" si="260"/>
        <v>41895</v>
      </c>
      <c r="D2133" s="37" t="s">
        <v>1384</v>
      </c>
      <c r="E2133" s="728">
        <v>41895</v>
      </c>
      <c r="F2133" s="780" t="s">
        <v>1211</v>
      </c>
      <c r="G2133" s="468" t="s">
        <v>681</v>
      </c>
      <c r="H2133" s="7" t="s">
        <v>1377</v>
      </c>
      <c r="I2133" s="256">
        <v>200</v>
      </c>
      <c r="J2133" s="256">
        <v>9305.7789614598551</v>
      </c>
      <c r="K2133" s="568">
        <f t="shared" si="259"/>
        <v>1861156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>x</v>
      </c>
      <c r="AB2133" s="854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258"/>
        <v>9</v>
      </c>
      <c r="C2134" s="37">
        <f t="shared" si="260"/>
        <v>41895</v>
      </c>
      <c r="D2134" s="37" t="s">
        <v>1384</v>
      </c>
      <c r="E2134" s="728">
        <v>41895</v>
      </c>
      <c r="F2134" s="192" t="s">
        <v>1211</v>
      </c>
      <c r="G2134" s="468" t="s">
        <v>681</v>
      </c>
      <c r="H2134" s="7" t="s">
        <v>1377</v>
      </c>
      <c r="I2134" s="256">
        <v>989</v>
      </c>
      <c r="J2134" s="256">
        <v>9305.7789614598551</v>
      </c>
      <c r="K2134" s="568">
        <f t="shared" si="259"/>
        <v>9203415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6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>x</v>
      </c>
      <c r="AB2134" s="854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258"/>
        <v>9</v>
      </c>
      <c r="C2135" s="37">
        <f t="shared" si="260"/>
        <v>41895</v>
      </c>
      <c r="D2135" s="37" t="s">
        <v>1384</v>
      </c>
      <c r="E2135" s="728">
        <v>41895</v>
      </c>
      <c r="F2135" s="192" t="s">
        <v>446</v>
      </c>
      <c r="G2135" s="468" t="s">
        <v>681</v>
      </c>
      <c r="H2135" s="7" t="s">
        <v>1377</v>
      </c>
      <c r="I2135" s="256">
        <v>2400</v>
      </c>
      <c r="J2135" s="256">
        <v>816.29640012805748</v>
      </c>
      <c r="K2135" s="568">
        <f t="shared" si="259"/>
        <v>1959111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>x</v>
      </c>
      <c r="AB2135" s="854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258"/>
        <v>9</v>
      </c>
      <c r="C2136" s="37">
        <f t="shared" si="260"/>
        <v>41897</v>
      </c>
      <c r="D2136" s="37" t="s">
        <v>1384</v>
      </c>
      <c r="E2136" s="730">
        <v>41897</v>
      </c>
      <c r="F2136" s="192" t="s">
        <v>437</v>
      </c>
      <c r="G2136" s="468" t="s">
        <v>682</v>
      </c>
      <c r="H2136" s="7" t="s">
        <v>1377</v>
      </c>
      <c r="I2136" s="256">
        <v>495</v>
      </c>
      <c r="J2136" s="256">
        <v>7754.8158012165459</v>
      </c>
      <c r="K2136" s="568">
        <f t="shared" si="259"/>
        <v>3838634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>x</v>
      </c>
      <c r="AB2136" s="854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258"/>
        <v>9</v>
      </c>
      <c r="C2137" s="37">
        <f t="shared" si="260"/>
        <v>41898</v>
      </c>
      <c r="D2137" s="37" t="s">
        <v>1384</v>
      </c>
      <c r="E2137" s="730">
        <v>41898</v>
      </c>
      <c r="F2137" s="192" t="s">
        <v>683</v>
      </c>
      <c r="G2137" s="468" t="s">
        <v>684</v>
      </c>
      <c r="H2137" s="7" t="s">
        <v>1377</v>
      </c>
      <c r="I2137" s="256">
        <v>451</v>
      </c>
      <c r="J2137" s="256">
        <v>24897.040203905752</v>
      </c>
      <c r="K2137" s="568">
        <f t="shared" si="259"/>
        <v>11228565</v>
      </c>
      <c r="L2137" s="194" t="s">
        <v>175</v>
      </c>
      <c r="M2137" s="194" t="s">
        <v>169</v>
      </c>
      <c r="N2137" s="52" t="str">
        <f>IF(AND('331-CT'!$E$7=TH!H2137,OR(L2137="331",M2137="331")),"331",IF(AND(OR(L2137="131",M2137="131"),H2137='131-CT'!$E$7),"131",""))</f>
        <v/>
      </c>
      <c r="O2137" s="896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54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258"/>
        <v>9</v>
      </c>
      <c r="C2138" s="37">
        <f t="shared" si="260"/>
        <v>41898</v>
      </c>
      <c r="D2138" s="37" t="s">
        <v>1384</v>
      </c>
      <c r="E2138" s="730">
        <v>41898</v>
      </c>
      <c r="F2138" s="192" t="s">
        <v>747</v>
      </c>
      <c r="G2138" s="468" t="s">
        <v>684</v>
      </c>
      <c r="H2138" s="7" t="s">
        <v>1377</v>
      </c>
      <c r="I2138" s="256">
        <v>902</v>
      </c>
      <c r="J2138" s="256">
        <v>1224.4446001920862</v>
      </c>
      <c r="K2138" s="568">
        <f t="shared" si="259"/>
        <v>1104449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6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54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258"/>
        <v>9</v>
      </c>
      <c r="C2139" s="37">
        <f t="shared" si="260"/>
        <v>41898</v>
      </c>
      <c r="D2139" s="37" t="s">
        <v>1384</v>
      </c>
      <c r="E2139" s="730">
        <v>41898</v>
      </c>
      <c r="F2139" s="192" t="s">
        <v>664</v>
      </c>
      <c r="G2139" s="468" t="s">
        <v>686</v>
      </c>
      <c r="H2139" s="7" t="s">
        <v>1377</v>
      </c>
      <c r="I2139" s="256">
        <v>175</v>
      </c>
      <c r="J2139" s="256">
        <v>10856.742121703164</v>
      </c>
      <c r="K2139" s="568">
        <f t="shared" si="259"/>
        <v>1899930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54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258"/>
        <v>9</v>
      </c>
      <c r="C2140" s="37">
        <f t="shared" si="260"/>
        <v>41898</v>
      </c>
      <c r="D2140" s="37" t="s">
        <v>1384</v>
      </c>
      <c r="E2140" s="730">
        <v>41898</v>
      </c>
      <c r="F2140" s="780" t="s">
        <v>664</v>
      </c>
      <c r="G2140" s="468" t="s">
        <v>686</v>
      </c>
      <c r="H2140" s="7" t="s">
        <v>1377</v>
      </c>
      <c r="I2140" s="256">
        <v>1686</v>
      </c>
      <c r="J2140" s="256">
        <v>10856.742121703164</v>
      </c>
      <c r="K2140" s="568">
        <f t="shared" si="259"/>
        <v>18304467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54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258"/>
        <v>9</v>
      </c>
      <c r="C2141" s="37">
        <f t="shared" si="260"/>
        <v>41898</v>
      </c>
      <c r="D2141" s="37" t="s">
        <v>1384</v>
      </c>
      <c r="E2141" s="730">
        <v>41898</v>
      </c>
      <c r="F2141" s="192" t="s">
        <v>663</v>
      </c>
      <c r="G2141" s="468" t="s">
        <v>686</v>
      </c>
      <c r="H2141" s="7" t="s">
        <v>1377</v>
      </c>
      <c r="I2141" s="256">
        <v>827</v>
      </c>
      <c r="J2141" s="256">
        <v>7836.4454412293517</v>
      </c>
      <c r="K2141" s="568">
        <f t="shared" si="259"/>
        <v>6480740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6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54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258"/>
        <v>9</v>
      </c>
      <c r="C2142" s="37">
        <f t="shared" si="260"/>
        <v>41898</v>
      </c>
      <c r="D2142" s="37" t="s">
        <v>1384</v>
      </c>
      <c r="E2142" s="730">
        <v>41898</v>
      </c>
      <c r="F2142" s="192" t="s">
        <v>663</v>
      </c>
      <c r="G2142" s="468" t="s">
        <v>686</v>
      </c>
      <c r="H2142" s="7" t="s">
        <v>1377</v>
      </c>
      <c r="I2142" s="256">
        <v>1700</v>
      </c>
      <c r="J2142" s="256">
        <v>7836.4454412293517</v>
      </c>
      <c r="K2142" s="568">
        <f t="shared" si="259"/>
        <v>13321957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54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258"/>
        <v>9</v>
      </c>
      <c r="C2143" s="37">
        <f t="shared" si="260"/>
        <v>41898</v>
      </c>
      <c r="D2143" s="37" t="s">
        <v>1384</v>
      </c>
      <c r="E2143" s="730">
        <v>41898</v>
      </c>
      <c r="F2143" s="192" t="s">
        <v>624</v>
      </c>
      <c r="G2143" s="468" t="s">
        <v>686</v>
      </c>
      <c r="H2143" s="7" t="s">
        <v>1377</v>
      </c>
      <c r="I2143" s="256">
        <v>10500</v>
      </c>
      <c r="J2143" s="256">
        <v>489.77784007683448</v>
      </c>
      <c r="K2143" s="568">
        <f t="shared" si="259"/>
        <v>5142667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6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54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258"/>
        <v>9</v>
      </c>
      <c r="C2144" s="37">
        <f t="shared" si="260"/>
        <v>41899</v>
      </c>
      <c r="D2144" s="37" t="s">
        <v>1384</v>
      </c>
      <c r="E2144" s="730">
        <v>41899</v>
      </c>
      <c r="F2144" s="192" t="s">
        <v>687</v>
      </c>
      <c r="G2144" s="468" t="s">
        <v>688</v>
      </c>
      <c r="H2144" s="7" t="s">
        <v>1377</v>
      </c>
      <c r="I2144" s="256">
        <v>833</v>
      </c>
      <c r="J2144" s="256">
        <v>19019.706122983738</v>
      </c>
      <c r="K2144" s="568">
        <f t="shared" si="259"/>
        <v>15843415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6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54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258"/>
        <v>9</v>
      </c>
      <c r="C2145" s="37">
        <f t="shared" si="260"/>
        <v>41900</v>
      </c>
      <c r="D2145" s="37" t="s">
        <v>1384</v>
      </c>
      <c r="E2145" s="730">
        <v>41900</v>
      </c>
      <c r="F2145" s="192" t="s">
        <v>488</v>
      </c>
      <c r="G2145" s="468" t="s">
        <v>690</v>
      </c>
      <c r="H2145" s="7" t="s">
        <v>1377</v>
      </c>
      <c r="I2145" s="256">
        <v>195</v>
      </c>
      <c r="J2145" s="256">
        <v>7591.5565211909352</v>
      </c>
      <c r="K2145" s="568">
        <f t="shared" si="259"/>
        <v>1480354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54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258"/>
        <v>9</v>
      </c>
      <c r="C2146" s="37">
        <f t="shared" si="260"/>
        <v>41900</v>
      </c>
      <c r="D2146" s="37" t="s">
        <v>1384</v>
      </c>
      <c r="E2146" s="730">
        <v>41900</v>
      </c>
      <c r="F2146" s="192" t="s">
        <v>495</v>
      </c>
      <c r="G2146" s="468" t="s">
        <v>690</v>
      </c>
      <c r="H2146" s="7" t="s">
        <v>1377</v>
      </c>
      <c r="I2146" s="256">
        <v>300</v>
      </c>
      <c r="J2146" s="256">
        <v>7101.7786811141004</v>
      </c>
      <c r="K2146" s="568">
        <f t="shared" si="259"/>
        <v>2130534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6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54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258"/>
        <v>9</v>
      </c>
      <c r="C2147" s="37">
        <f t="shared" si="260"/>
        <v>41904</v>
      </c>
      <c r="D2147" s="37" t="s">
        <v>1384</v>
      </c>
      <c r="E2147" s="730">
        <v>41904</v>
      </c>
      <c r="F2147" s="192" t="s">
        <v>691</v>
      </c>
      <c r="G2147" s="468" t="s">
        <v>692</v>
      </c>
      <c r="H2147" s="7" t="s">
        <v>1377</v>
      </c>
      <c r="I2147" s="256">
        <v>314</v>
      </c>
      <c r="J2147" s="256">
        <v>5958.9637209348193</v>
      </c>
      <c r="K2147" s="568">
        <f t="shared" si="259"/>
        <v>1871115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6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54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258"/>
        <v>9</v>
      </c>
      <c r="C2148" s="37">
        <f t="shared" si="260"/>
        <v>41904</v>
      </c>
      <c r="D2148" s="37" t="s">
        <v>1384</v>
      </c>
      <c r="E2148" s="730">
        <v>41904</v>
      </c>
      <c r="F2148" s="192" t="s">
        <v>693</v>
      </c>
      <c r="G2148" s="468" t="s">
        <v>692</v>
      </c>
      <c r="H2148" s="7" t="s">
        <v>1377</v>
      </c>
      <c r="I2148" s="256">
        <v>103</v>
      </c>
      <c r="J2148" s="256">
        <v>5305.9266008323739</v>
      </c>
      <c r="K2148" s="568">
        <f t="shared" si="259"/>
        <v>546510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54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258"/>
        <v>9</v>
      </c>
      <c r="C2149" s="37">
        <f t="shared" si="260"/>
        <v>41904</v>
      </c>
      <c r="D2149" s="37" t="s">
        <v>1384</v>
      </c>
      <c r="E2149" s="184">
        <v>41904</v>
      </c>
      <c r="F2149" s="189" t="s">
        <v>694</v>
      </c>
      <c r="G2149" s="570" t="s">
        <v>692</v>
      </c>
      <c r="H2149" s="7" t="s">
        <v>1377</v>
      </c>
      <c r="I2149" s="256">
        <v>497</v>
      </c>
      <c r="J2149" s="256">
        <v>4408.0005606915111</v>
      </c>
      <c r="K2149" s="568">
        <f t="shared" si="259"/>
        <v>2190776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6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54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258"/>
        <v>9</v>
      </c>
      <c r="C2150" s="37">
        <f t="shared" si="260"/>
        <v>41904</v>
      </c>
      <c r="D2150" s="37" t="s">
        <v>1384</v>
      </c>
      <c r="E2150" s="191">
        <v>41904</v>
      </c>
      <c r="F2150" s="192" t="s">
        <v>695</v>
      </c>
      <c r="G2150" s="468" t="s">
        <v>692</v>
      </c>
      <c r="H2150" s="7" t="s">
        <v>1377</v>
      </c>
      <c r="I2150" s="256">
        <v>300</v>
      </c>
      <c r="J2150" s="256">
        <v>3836.59308060187</v>
      </c>
      <c r="K2150" s="568">
        <f t="shared" si="259"/>
        <v>1150978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6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54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258"/>
        <v>9</v>
      </c>
      <c r="C2151" s="37">
        <f t="shared" si="260"/>
        <v>41905</v>
      </c>
      <c r="D2151" s="37" t="s">
        <v>1384</v>
      </c>
      <c r="E2151" s="191">
        <v>41905</v>
      </c>
      <c r="F2151" s="192" t="s">
        <v>696</v>
      </c>
      <c r="G2151" s="468" t="s">
        <v>697</v>
      </c>
      <c r="H2151" s="7" t="s">
        <v>1377</v>
      </c>
      <c r="I2151" s="256">
        <v>184</v>
      </c>
      <c r="J2151" s="256">
        <v>19836.002523111798</v>
      </c>
      <c r="K2151" s="568">
        <f t="shared" si="259"/>
        <v>3649824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54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258"/>
        <v>9</v>
      </c>
      <c r="C2152" s="37">
        <f t="shared" si="260"/>
        <v>41905</v>
      </c>
      <c r="D2152" s="37" t="s">
        <v>1384</v>
      </c>
      <c r="E2152" s="730">
        <v>41905</v>
      </c>
      <c r="F2152" s="40" t="s">
        <v>747</v>
      </c>
      <c r="G2152" s="40" t="s">
        <v>697</v>
      </c>
      <c r="H2152" s="7" t="s">
        <v>1377</v>
      </c>
      <c r="I2152" s="256">
        <v>368</v>
      </c>
      <c r="J2152" s="256">
        <v>1224.4446001920862</v>
      </c>
      <c r="K2152" s="568">
        <f t="shared" si="259"/>
        <v>450596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6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54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258"/>
        <v>9</v>
      </c>
      <c r="C2153" s="37">
        <f t="shared" si="260"/>
        <v>41905</v>
      </c>
      <c r="D2153" s="37" t="s">
        <v>1384</v>
      </c>
      <c r="E2153" s="730">
        <v>41905</v>
      </c>
      <c r="F2153" s="40" t="s">
        <v>683</v>
      </c>
      <c r="G2153" s="40" t="s">
        <v>698</v>
      </c>
      <c r="H2153" s="7" t="s">
        <v>1377</v>
      </c>
      <c r="I2153" s="256">
        <v>13</v>
      </c>
      <c r="J2153" s="256">
        <v>24897.040203905752</v>
      </c>
      <c r="K2153" s="568">
        <f t="shared" si="259"/>
        <v>323662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54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258"/>
        <v>9</v>
      </c>
      <c r="C2154" s="37">
        <f t="shared" si="260"/>
        <v>41907</v>
      </c>
      <c r="D2154" s="37" t="s">
        <v>1384</v>
      </c>
      <c r="E2154" s="730">
        <v>41907</v>
      </c>
      <c r="F2154" s="40" t="s">
        <v>516</v>
      </c>
      <c r="G2154" s="40" t="s">
        <v>699</v>
      </c>
      <c r="H2154" s="7" t="s">
        <v>1377</v>
      </c>
      <c r="I2154" s="256">
        <v>994</v>
      </c>
      <c r="J2154" s="256">
        <v>9387.4086014726599</v>
      </c>
      <c r="K2154" s="568">
        <f t="shared" si="259"/>
        <v>9331084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54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258"/>
        <v>9</v>
      </c>
      <c r="C2155" s="37">
        <f t="shared" si="260"/>
        <v>41908</v>
      </c>
      <c r="D2155" s="37" t="s">
        <v>1384</v>
      </c>
      <c r="E2155" s="730">
        <v>41908</v>
      </c>
      <c r="F2155" s="189" t="s">
        <v>640</v>
      </c>
      <c r="G2155" s="40" t="s">
        <v>700</v>
      </c>
      <c r="H2155" s="7" t="s">
        <v>1377</v>
      </c>
      <c r="I2155" s="256">
        <v>1500</v>
      </c>
      <c r="J2155" s="256">
        <v>4163.1116406530937</v>
      </c>
      <c r="K2155" s="568">
        <f t="shared" si="259"/>
        <v>6244667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6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54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258"/>
        <v>9</v>
      </c>
      <c r="C2156" s="37">
        <f t="shared" si="260"/>
        <v>41908</v>
      </c>
      <c r="D2156" s="37" t="s">
        <v>1384</v>
      </c>
      <c r="E2156" s="730">
        <v>41908</v>
      </c>
      <c r="F2156" s="40" t="s">
        <v>501</v>
      </c>
      <c r="G2156" s="40" t="s">
        <v>701</v>
      </c>
      <c r="H2156" s="7" t="s">
        <v>1377</v>
      </c>
      <c r="I2156" s="256">
        <v>399</v>
      </c>
      <c r="J2156" s="256">
        <v>6856.8897610756831</v>
      </c>
      <c r="K2156" s="568">
        <f t="shared" si="259"/>
        <v>2735899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54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258"/>
        <v>9</v>
      </c>
      <c r="C2157" s="37">
        <f t="shared" si="260"/>
        <v>41908</v>
      </c>
      <c r="D2157" s="37" t="s">
        <v>1384</v>
      </c>
      <c r="E2157" s="730">
        <v>41908</v>
      </c>
      <c r="F2157" s="40" t="s">
        <v>504</v>
      </c>
      <c r="G2157" s="40" t="s">
        <v>701</v>
      </c>
      <c r="H2157" s="7" t="s">
        <v>1377</v>
      </c>
      <c r="I2157" s="256">
        <v>295</v>
      </c>
      <c r="J2157" s="256">
        <v>7346.6676011525178</v>
      </c>
      <c r="K2157" s="568">
        <f t="shared" si="259"/>
        <v>2167267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54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258"/>
        <v>9</v>
      </c>
      <c r="C2158" s="37">
        <f t="shared" si="260"/>
        <v>41908</v>
      </c>
      <c r="D2158" s="37" t="s">
        <v>1384</v>
      </c>
      <c r="E2158" s="730">
        <v>41908</v>
      </c>
      <c r="F2158" s="40" t="s">
        <v>505</v>
      </c>
      <c r="G2158" s="40" t="s">
        <v>701</v>
      </c>
      <c r="H2158" s="7" t="s">
        <v>1377</v>
      </c>
      <c r="I2158" s="256">
        <v>200</v>
      </c>
      <c r="J2158" s="256">
        <v>7591.5565211909352</v>
      </c>
      <c r="K2158" s="568">
        <f t="shared" si="259"/>
        <v>1518311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6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54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258"/>
        <v>9</v>
      </c>
      <c r="C2159" s="37">
        <f t="shared" si="260"/>
        <v>41908</v>
      </c>
      <c r="D2159" s="37" t="s">
        <v>1384</v>
      </c>
      <c r="E2159" s="730">
        <v>41908</v>
      </c>
      <c r="F2159" s="189" t="s">
        <v>406</v>
      </c>
      <c r="G2159" s="40" t="s">
        <v>701</v>
      </c>
      <c r="H2159" s="7" t="s">
        <v>1377</v>
      </c>
      <c r="I2159" s="256">
        <v>298</v>
      </c>
      <c r="J2159" s="256">
        <v>8326.2232813061873</v>
      </c>
      <c r="K2159" s="568">
        <f t="shared" si="259"/>
        <v>2481215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54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258"/>
        <v>9</v>
      </c>
      <c r="C2160" s="37">
        <f t="shared" si="260"/>
        <v>41908</v>
      </c>
      <c r="D2160" s="37" t="s">
        <v>1384</v>
      </c>
      <c r="E2160" s="730">
        <v>41908</v>
      </c>
      <c r="F2160" s="189" t="s">
        <v>702</v>
      </c>
      <c r="G2160" s="40" t="s">
        <v>701</v>
      </c>
      <c r="H2160" s="7" t="s">
        <v>1377</v>
      </c>
      <c r="I2160" s="256">
        <v>360</v>
      </c>
      <c r="J2160" s="256">
        <v>5795.7044409092077</v>
      </c>
      <c r="K2160" s="568">
        <f t="shared" si="259"/>
        <v>2086454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54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258"/>
        <v>9</v>
      </c>
      <c r="C2161" s="37">
        <f t="shared" si="260"/>
        <v>41908</v>
      </c>
      <c r="D2161" s="37" t="s">
        <v>1384</v>
      </c>
      <c r="E2161" s="730">
        <v>41908</v>
      </c>
      <c r="F2161" s="189" t="s">
        <v>437</v>
      </c>
      <c r="G2161" s="40" t="s">
        <v>703</v>
      </c>
      <c r="H2161" s="7" t="s">
        <v>1377</v>
      </c>
      <c r="I2161" s="256">
        <v>498</v>
      </c>
      <c r="J2161" s="256">
        <v>7754.8158012165459</v>
      </c>
      <c r="K2161" s="568">
        <f t="shared" si="259"/>
        <v>3861898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54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258"/>
        <v>9</v>
      </c>
      <c r="C2162" s="37">
        <f t="shared" si="260"/>
        <v>41908</v>
      </c>
      <c r="D2162" s="37" t="s">
        <v>1384</v>
      </c>
      <c r="E2162" s="730">
        <v>41908</v>
      </c>
      <c r="F2162" s="189" t="s">
        <v>567</v>
      </c>
      <c r="G2162" s="40" t="s">
        <v>703</v>
      </c>
      <c r="H2162" s="7" t="s">
        <v>1377</v>
      </c>
      <c r="I2162" s="256">
        <v>493</v>
      </c>
      <c r="J2162" s="256">
        <v>7918.0750812421575</v>
      </c>
      <c r="K2162" s="568">
        <f t="shared" si="259"/>
        <v>3903611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54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258"/>
        <v>9</v>
      </c>
      <c r="C2163" s="37">
        <f t="shared" si="260"/>
        <v>41908</v>
      </c>
      <c r="D2163" s="37" t="s">
        <v>1384</v>
      </c>
      <c r="E2163" s="730">
        <v>41908</v>
      </c>
      <c r="F2163" s="189" t="s">
        <v>704</v>
      </c>
      <c r="G2163" s="40" t="s">
        <v>705</v>
      </c>
      <c r="H2163" s="7" t="s">
        <v>1377</v>
      </c>
      <c r="I2163" s="256">
        <v>51</v>
      </c>
      <c r="J2163" s="256">
        <v>7509.9268811781294</v>
      </c>
      <c r="K2163" s="568">
        <f t="shared" si="259"/>
        <v>383006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6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54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258"/>
        <v>9</v>
      </c>
      <c r="C2164" s="37">
        <f t="shared" si="260"/>
        <v>41908</v>
      </c>
      <c r="D2164" s="37" t="s">
        <v>1384</v>
      </c>
      <c r="E2164" s="730">
        <v>41908</v>
      </c>
      <c r="F2164" s="189" t="s">
        <v>706</v>
      </c>
      <c r="G2164" s="40" t="s">
        <v>705</v>
      </c>
      <c r="H2164" s="7" t="s">
        <v>1377</v>
      </c>
      <c r="I2164" s="256">
        <v>313</v>
      </c>
      <c r="J2164" s="256">
        <v>10530.223561651941</v>
      </c>
      <c r="K2164" s="568">
        <f t="shared" si="259"/>
        <v>3295960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6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54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258"/>
        <v>9</v>
      </c>
      <c r="C2165" s="37">
        <f t="shared" si="260"/>
        <v>41908</v>
      </c>
      <c r="D2165" s="37" t="s">
        <v>1384</v>
      </c>
      <c r="E2165" s="730">
        <v>41908</v>
      </c>
      <c r="F2165" s="189" t="s">
        <v>707</v>
      </c>
      <c r="G2165" s="40" t="s">
        <v>705</v>
      </c>
      <c r="H2165" s="7" t="s">
        <v>1377</v>
      </c>
      <c r="I2165" s="256">
        <v>113</v>
      </c>
      <c r="J2165" s="256">
        <v>7918.0750812421575</v>
      </c>
      <c r="K2165" s="568">
        <f t="shared" si="259"/>
        <v>894742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54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258"/>
        <v>9</v>
      </c>
      <c r="C2166" s="37">
        <f t="shared" si="260"/>
        <v>41908</v>
      </c>
      <c r="D2166" s="37" t="s">
        <v>1384</v>
      </c>
      <c r="E2166" s="730">
        <v>41908</v>
      </c>
      <c r="F2166" s="40" t="s">
        <v>708</v>
      </c>
      <c r="G2166" s="40" t="s">
        <v>705</v>
      </c>
      <c r="H2166" s="7" t="s">
        <v>1377</v>
      </c>
      <c r="I2166" s="256">
        <v>21</v>
      </c>
      <c r="J2166" s="256">
        <v>10530.223561651941</v>
      </c>
      <c r="K2166" s="568">
        <f t="shared" si="259"/>
        <v>221135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54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258"/>
        <v>9</v>
      </c>
      <c r="C2167" s="37">
        <f t="shared" si="260"/>
        <v>41908</v>
      </c>
      <c r="D2167" s="37" t="s">
        <v>1384</v>
      </c>
      <c r="E2167" s="730">
        <v>41908</v>
      </c>
      <c r="F2167" s="443" t="s">
        <v>709</v>
      </c>
      <c r="G2167" s="40" t="s">
        <v>705</v>
      </c>
      <c r="H2167" s="7" t="s">
        <v>1377</v>
      </c>
      <c r="I2167" s="256">
        <v>35</v>
      </c>
      <c r="J2167" s="256">
        <v>9224.1493214470484</v>
      </c>
      <c r="K2167" s="568">
        <f t="shared" si="259"/>
        <v>322845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6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54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258"/>
        <v>9</v>
      </c>
      <c r="C2168" s="37">
        <f t="shared" si="260"/>
        <v>41908</v>
      </c>
      <c r="D2168" s="37" t="s">
        <v>1384</v>
      </c>
      <c r="E2168" s="730">
        <v>41908</v>
      </c>
      <c r="F2168" s="189" t="s">
        <v>710</v>
      </c>
      <c r="G2168" s="40" t="s">
        <v>705</v>
      </c>
      <c r="H2168" s="7" t="s">
        <v>1377</v>
      </c>
      <c r="I2168" s="256">
        <v>33</v>
      </c>
      <c r="J2168" s="256">
        <v>9713.9271615238831</v>
      </c>
      <c r="K2168" s="568">
        <f t="shared" si="259"/>
        <v>320560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54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258"/>
        <v>9</v>
      </c>
      <c r="C2169" s="37">
        <f t="shared" si="260"/>
        <v>41908</v>
      </c>
      <c r="D2169" s="37" t="s">
        <v>1384</v>
      </c>
      <c r="E2169" s="730">
        <v>41908</v>
      </c>
      <c r="F2169" s="40" t="s">
        <v>587</v>
      </c>
      <c r="G2169" s="40" t="s">
        <v>705</v>
      </c>
      <c r="H2169" s="7" t="s">
        <v>1377</v>
      </c>
      <c r="I2169" s="256">
        <v>762</v>
      </c>
      <c r="J2169" s="256">
        <v>10122.075361587913</v>
      </c>
      <c r="K2169" s="568">
        <f t="shared" si="259"/>
        <v>7713021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6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54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258"/>
        <v>9</v>
      </c>
      <c r="C2170" s="37">
        <f t="shared" si="260"/>
        <v>41908</v>
      </c>
      <c r="D2170" s="37" t="s">
        <v>1384</v>
      </c>
      <c r="E2170" s="730">
        <v>41908</v>
      </c>
      <c r="F2170" s="189" t="s">
        <v>711</v>
      </c>
      <c r="G2170" s="40" t="s">
        <v>705</v>
      </c>
      <c r="H2170" s="7" t="s">
        <v>1377</v>
      </c>
      <c r="I2170" s="256">
        <v>145</v>
      </c>
      <c r="J2170" s="256">
        <v>10530.223561651941</v>
      </c>
      <c r="K2170" s="568">
        <f t="shared" si="259"/>
        <v>1526882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6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54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ref="B2171:B2234" si="261">IF(C2171&lt;&gt;"",MONTH(C2171),"")</f>
        <v>9</v>
      </c>
      <c r="C2171" s="37">
        <f t="shared" si="260"/>
        <v>41909</v>
      </c>
      <c r="D2171" s="37" t="s">
        <v>1384</v>
      </c>
      <c r="E2171" s="730">
        <v>41909</v>
      </c>
      <c r="F2171" s="189" t="s">
        <v>460</v>
      </c>
      <c r="G2171" s="40" t="s">
        <v>712</v>
      </c>
      <c r="H2171" s="7" t="s">
        <v>1377</v>
      </c>
      <c r="I2171" s="256">
        <v>1007</v>
      </c>
      <c r="J2171" s="256">
        <v>7509.9268811781294</v>
      </c>
      <c r="K2171" s="568">
        <f t="shared" ref="K2171:K2234" si="262">ROUND(I2171*J2171,0)</f>
        <v>7562496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54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261"/>
        <v>9</v>
      </c>
      <c r="C2172" s="37">
        <f t="shared" ref="C2172:C2235" si="263">E2172</f>
        <v>41912</v>
      </c>
      <c r="D2172" s="37" t="s">
        <v>1384</v>
      </c>
      <c r="E2172" s="730">
        <v>41912</v>
      </c>
      <c r="F2172" s="189" t="s">
        <v>713</v>
      </c>
      <c r="G2172" s="40" t="s">
        <v>714</v>
      </c>
      <c r="H2172" s="7" t="s">
        <v>1377</v>
      </c>
      <c r="I2172" s="256">
        <v>264</v>
      </c>
      <c r="J2172" s="256">
        <v>9877.1864415494947</v>
      </c>
      <c r="K2172" s="568">
        <f t="shared" si="262"/>
        <v>2607577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6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54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261"/>
        <v>9</v>
      </c>
      <c r="C2173" s="37">
        <f t="shared" si="263"/>
        <v>41912</v>
      </c>
      <c r="D2173" s="37" t="s">
        <v>1384</v>
      </c>
      <c r="E2173" s="730">
        <v>41912</v>
      </c>
      <c r="F2173" s="40" t="s">
        <v>713</v>
      </c>
      <c r="G2173" s="40" t="s">
        <v>714</v>
      </c>
      <c r="H2173" s="7" t="s">
        <v>1377</v>
      </c>
      <c r="I2173" s="256">
        <v>169</v>
      </c>
      <c r="J2173" s="256">
        <v>9877.1864415494947</v>
      </c>
      <c r="K2173" s="568">
        <f t="shared" si="262"/>
        <v>1669245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6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54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261"/>
        <v>9</v>
      </c>
      <c r="C2174" s="37">
        <f t="shared" si="263"/>
        <v>41912</v>
      </c>
      <c r="D2174" s="37" t="s">
        <v>1384</v>
      </c>
      <c r="E2174" s="730">
        <v>41912</v>
      </c>
      <c r="F2174" s="40" t="s">
        <v>671</v>
      </c>
      <c r="G2174" s="40" t="s">
        <v>716</v>
      </c>
      <c r="H2174" s="7" t="s">
        <v>1377</v>
      </c>
      <c r="I2174" s="256">
        <v>993</v>
      </c>
      <c r="J2174" s="256">
        <v>7346.6676011525178</v>
      </c>
      <c r="K2174" s="568">
        <f t="shared" si="262"/>
        <v>7295241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54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261"/>
        <v>9</v>
      </c>
      <c r="C2175" s="37">
        <f t="shared" si="263"/>
        <v>41912</v>
      </c>
      <c r="D2175" s="37" t="s">
        <v>1384</v>
      </c>
      <c r="E2175" s="730">
        <v>41912</v>
      </c>
      <c r="F2175" s="40" t="s">
        <v>717</v>
      </c>
      <c r="G2175" s="40" t="s">
        <v>718</v>
      </c>
      <c r="H2175" s="7" t="s">
        <v>1377</v>
      </c>
      <c r="I2175" s="256">
        <v>247</v>
      </c>
      <c r="J2175" s="256">
        <v>21305.3360433423</v>
      </c>
      <c r="K2175" s="568">
        <f t="shared" si="262"/>
        <v>5262418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6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54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261"/>
        <v>9</v>
      </c>
      <c r="C2176" s="37">
        <f t="shared" si="263"/>
        <v>41912</v>
      </c>
      <c r="D2176" s="37" t="s">
        <v>1384</v>
      </c>
      <c r="E2176" s="730">
        <v>41912</v>
      </c>
      <c r="F2176" s="40" t="s">
        <v>693</v>
      </c>
      <c r="G2176" s="40" t="s">
        <v>719</v>
      </c>
      <c r="H2176" s="7" t="s">
        <v>1377</v>
      </c>
      <c r="I2176" s="256">
        <v>498</v>
      </c>
      <c r="J2176" s="256">
        <v>5305.9266008323739</v>
      </c>
      <c r="K2176" s="568">
        <f t="shared" si="262"/>
        <v>2642351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6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54"/>
    </row>
    <row r="2177" spans="1:30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261"/>
        <v>9</v>
      </c>
      <c r="C2177" s="37">
        <f t="shared" si="263"/>
        <v>41912</v>
      </c>
      <c r="D2177" s="37" t="s">
        <v>1384</v>
      </c>
      <c r="E2177" s="730">
        <v>41912</v>
      </c>
      <c r="F2177" s="40" t="s">
        <v>694</v>
      </c>
      <c r="G2177" s="40" t="s">
        <v>719</v>
      </c>
      <c r="H2177" s="7" t="s">
        <v>1377</v>
      </c>
      <c r="I2177" s="256">
        <v>500</v>
      </c>
      <c r="J2177" s="256">
        <v>4408.0005606915111</v>
      </c>
      <c r="K2177" s="568">
        <f t="shared" si="262"/>
        <v>2204000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54"/>
    </row>
    <row r="2178" spans="1:30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261"/>
        <v>9</v>
      </c>
      <c r="C2178" s="37">
        <f t="shared" si="263"/>
        <v>41912</v>
      </c>
      <c r="D2178" s="37" t="s">
        <v>1384</v>
      </c>
      <c r="E2178" s="730">
        <v>41912</v>
      </c>
      <c r="F2178" s="40" t="s">
        <v>720</v>
      </c>
      <c r="G2178" s="40" t="s">
        <v>721</v>
      </c>
      <c r="H2178" s="7" t="s">
        <v>1377</v>
      </c>
      <c r="I2178" s="256">
        <v>1000</v>
      </c>
      <c r="J2178" s="256">
        <v>12734.223841997697</v>
      </c>
      <c r="K2178" s="568">
        <f t="shared" si="262"/>
        <v>12734224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6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54"/>
    </row>
    <row r="2179" spans="1:30" s="856" customFormat="1" ht="15.75" customHeight="1">
      <c r="A2179" s="844" t="str">
        <f>IF(B2179&lt;&gt;"",IF(AND(B2179&gt;=_TM1,B2179&lt;=_TM2,OR(TH!L2179="1111",TH!M2179="1111")),TH!D2179,""),"")</f>
        <v/>
      </c>
      <c r="B2179" s="845">
        <f t="shared" si="261"/>
        <v>10</v>
      </c>
      <c r="C2179" s="933">
        <f t="shared" si="263"/>
        <v>41918</v>
      </c>
      <c r="D2179" s="37" t="s">
        <v>1384</v>
      </c>
      <c r="E2179" s="846">
        <v>41918</v>
      </c>
      <c r="F2179" s="848" t="s">
        <v>723</v>
      </c>
      <c r="G2179" s="849" t="s">
        <v>724</v>
      </c>
      <c r="H2179" s="850" t="s">
        <v>1377</v>
      </c>
      <c r="I2179" s="851">
        <v>218</v>
      </c>
      <c r="J2179" s="851">
        <v>19576.720447858519</v>
      </c>
      <c r="K2179" s="852">
        <f t="shared" si="262"/>
        <v>4267725</v>
      </c>
      <c r="L2179" s="934" t="s">
        <v>175</v>
      </c>
      <c r="M2179" s="934" t="s">
        <v>169</v>
      </c>
      <c r="N2179" s="52" t="str">
        <f>IF(AND('331-CT'!$E$7=TH!H2179,OR(L2179="331",M2179="331")),"331",IF(AND(OR(L2179="131",M2179="131"),H2179='131-CT'!$E$7),"131",""))</f>
        <v/>
      </c>
      <c r="O2179" s="896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54"/>
    </row>
    <row r="2180" spans="1:30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261"/>
        <v>10</v>
      </c>
      <c r="C2180" s="37">
        <f t="shared" si="263"/>
        <v>41918</v>
      </c>
      <c r="D2180" s="37" t="s">
        <v>1384</v>
      </c>
      <c r="E2180" s="191">
        <v>41918</v>
      </c>
      <c r="F2180" s="192" t="s">
        <v>747</v>
      </c>
      <c r="G2180" s="468" t="s">
        <v>724</v>
      </c>
      <c r="H2180" s="7" t="s">
        <v>1377</v>
      </c>
      <c r="I2180" s="256">
        <v>436</v>
      </c>
      <c r="J2180" s="256">
        <v>1233.8256880733945</v>
      </c>
      <c r="K2180" s="568">
        <f t="shared" si="262"/>
        <v>537948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54"/>
      <c r="AD2180" s="949">
        <f>K2180/I2180</f>
        <v>1233.8256880733945</v>
      </c>
    </row>
    <row r="2181" spans="1:30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261"/>
        <v>10</v>
      </c>
      <c r="C2181" s="37">
        <f t="shared" si="263"/>
        <v>41918</v>
      </c>
      <c r="D2181" s="37" t="s">
        <v>1384</v>
      </c>
      <c r="E2181" s="191">
        <v>41918</v>
      </c>
      <c r="F2181" s="192" t="s">
        <v>725</v>
      </c>
      <c r="G2181" s="468" t="s">
        <v>726</v>
      </c>
      <c r="H2181" s="7" t="s">
        <v>1377</v>
      </c>
      <c r="I2181" s="256">
        <v>267</v>
      </c>
      <c r="J2181" s="256">
        <v>3948.2434456928841</v>
      </c>
      <c r="K2181" s="568">
        <f t="shared" si="262"/>
        <v>1054181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6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54"/>
      <c r="AD2181" s="949">
        <f t="shared" ref="AD2181:AD2183" si="264">K2181/I2181</f>
        <v>3948.2434456928841</v>
      </c>
    </row>
    <row r="2182" spans="1:30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261"/>
        <v>10</v>
      </c>
      <c r="C2182" s="37">
        <f t="shared" si="263"/>
        <v>41918</v>
      </c>
      <c r="D2182" s="37" t="s">
        <v>1384</v>
      </c>
      <c r="E2182" s="191">
        <v>41918</v>
      </c>
      <c r="F2182" s="192" t="s">
        <v>727</v>
      </c>
      <c r="G2182" s="468" t="s">
        <v>726</v>
      </c>
      <c r="H2182" s="7" t="s">
        <v>1377</v>
      </c>
      <c r="I2182" s="256">
        <v>120</v>
      </c>
      <c r="J2182" s="256">
        <v>6251.3833333333332</v>
      </c>
      <c r="K2182" s="568">
        <f t="shared" si="262"/>
        <v>750166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6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54"/>
      <c r="AD2182" s="949">
        <f t="shared" si="264"/>
        <v>6251.3833333333332</v>
      </c>
    </row>
    <row r="2183" spans="1:30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261"/>
        <v>10</v>
      </c>
      <c r="C2183" s="37">
        <f t="shared" si="263"/>
        <v>41918</v>
      </c>
      <c r="D2183" s="37" t="s">
        <v>1384</v>
      </c>
      <c r="E2183" s="191">
        <v>41918</v>
      </c>
      <c r="F2183" s="192" t="s">
        <v>728</v>
      </c>
      <c r="G2183" s="468" t="s">
        <v>726</v>
      </c>
      <c r="H2183" s="7" t="s">
        <v>1377</v>
      </c>
      <c r="I2183" s="256">
        <v>230</v>
      </c>
      <c r="J2183" s="256">
        <v>5428.8347826086956</v>
      </c>
      <c r="K2183" s="568">
        <f t="shared" si="262"/>
        <v>1248632</v>
      </c>
      <c r="L2183" s="194" t="s">
        <v>175</v>
      </c>
      <c r="M2183" s="194" t="s">
        <v>169</v>
      </c>
      <c r="N2183" s="52" t="str">
        <f>IF(AND('331-CT'!$E$7=TH!H2183,OR(L2183="331",M2183="331")),"331",IF(AND(OR(L2183="131",M2183="131"),H2183='131-CT'!$E$7),"131",""))</f>
        <v/>
      </c>
      <c r="O2183" s="89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54"/>
      <c r="AD2183" s="949">
        <f t="shared" si="264"/>
        <v>5428.8347826086956</v>
      </c>
    </row>
    <row r="2184" spans="1:30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261"/>
        <v>10</v>
      </c>
      <c r="C2184" s="37">
        <f t="shared" si="263"/>
        <v>41918</v>
      </c>
      <c r="D2184" s="37" t="s">
        <v>1384</v>
      </c>
      <c r="E2184" s="191">
        <v>41918</v>
      </c>
      <c r="F2184" s="192" t="s">
        <v>729</v>
      </c>
      <c r="G2184" s="468" t="s">
        <v>726</v>
      </c>
      <c r="H2184" s="7" t="s">
        <v>1377</v>
      </c>
      <c r="I2184" s="256">
        <v>230</v>
      </c>
      <c r="J2184" s="256">
        <v>3865.9910128123965</v>
      </c>
      <c r="K2184" s="568">
        <f t="shared" si="262"/>
        <v>889178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6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54"/>
    </row>
    <row r="2185" spans="1:30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261"/>
        <v>10</v>
      </c>
      <c r="C2185" s="37">
        <f t="shared" si="263"/>
        <v>41922</v>
      </c>
      <c r="D2185" s="37" t="s">
        <v>1384</v>
      </c>
      <c r="E2185" s="191">
        <v>41922</v>
      </c>
      <c r="F2185" s="192" t="s">
        <v>516</v>
      </c>
      <c r="G2185" s="468" t="s">
        <v>731</v>
      </c>
      <c r="H2185" s="7" t="s">
        <v>1377</v>
      </c>
      <c r="I2185" s="256">
        <v>1996</v>
      </c>
      <c r="J2185" s="256">
        <v>9459.3397122005445</v>
      </c>
      <c r="K2185" s="568">
        <f t="shared" si="262"/>
        <v>18880842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6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54"/>
    </row>
    <row r="2186" spans="1:30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261"/>
        <v>10</v>
      </c>
      <c r="C2186" s="37">
        <f t="shared" si="263"/>
        <v>41922</v>
      </c>
      <c r="D2186" s="37" t="s">
        <v>1384</v>
      </c>
      <c r="E2186" s="191">
        <v>41922</v>
      </c>
      <c r="F2186" s="192" t="s">
        <v>732</v>
      </c>
      <c r="G2186" s="468" t="s">
        <v>733</v>
      </c>
      <c r="H2186" s="7" t="s">
        <v>1377</v>
      </c>
      <c r="I2186" s="256">
        <v>600</v>
      </c>
      <c r="J2186" s="256">
        <v>8225.5127932178657</v>
      </c>
      <c r="K2186" s="568">
        <f t="shared" si="262"/>
        <v>4935308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54"/>
    </row>
    <row r="2187" spans="1:30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261"/>
        <v>10</v>
      </c>
      <c r="C2187" s="37">
        <f t="shared" si="263"/>
        <v>41922</v>
      </c>
      <c r="D2187" s="37" t="s">
        <v>1384</v>
      </c>
      <c r="E2187" s="191">
        <v>41922</v>
      </c>
      <c r="F2187" s="192" t="s">
        <v>663</v>
      </c>
      <c r="G2187" s="468" t="s">
        <v>735</v>
      </c>
      <c r="H2187" s="7" t="s">
        <v>1377</v>
      </c>
      <c r="I2187" s="256">
        <v>1932</v>
      </c>
      <c r="J2187" s="256">
        <v>7896.4922814891506</v>
      </c>
      <c r="K2187" s="568">
        <f t="shared" si="262"/>
        <v>15256023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6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54"/>
    </row>
    <row r="2188" spans="1:30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261"/>
        <v>10</v>
      </c>
      <c r="C2188" s="37">
        <f t="shared" si="263"/>
        <v>41922</v>
      </c>
      <c r="D2188" s="37" t="s">
        <v>1384</v>
      </c>
      <c r="E2188" s="191">
        <v>41922</v>
      </c>
      <c r="F2188" s="192" t="s">
        <v>663</v>
      </c>
      <c r="G2188" s="468" t="s">
        <v>735</v>
      </c>
      <c r="H2188" s="7" t="s">
        <v>1377</v>
      </c>
      <c r="I2188" s="256">
        <v>593</v>
      </c>
      <c r="J2188" s="256">
        <v>7896.4922814891506</v>
      </c>
      <c r="K2188" s="568">
        <f t="shared" si="262"/>
        <v>4682620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6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54"/>
    </row>
    <row r="2189" spans="1:30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261"/>
        <v>10</v>
      </c>
      <c r="C2189" s="37">
        <f t="shared" si="263"/>
        <v>41922</v>
      </c>
      <c r="D2189" s="37" t="s">
        <v>1384</v>
      </c>
      <c r="E2189" s="191">
        <v>41922</v>
      </c>
      <c r="F2189" s="192" t="s">
        <v>736</v>
      </c>
      <c r="G2189" s="468" t="s">
        <v>735</v>
      </c>
      <c r="H2189" s="7" t="s">
        <v>1377</v>
      </c>
      <c r="I2189" s="256">
        <v>314</v>
      </c>
      <c r="J2189" s="256">
        <v>6662.6653625064719</v>
      </c>
      <c r="K2189" s="568">
        <f t="shared" si="262"/>
        <v>2092077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54"/>
    </row>
    <row r="2190" spans="1:30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261"/>
        <v>10</v>
      </c>
      <c r="C2190" s="37">
        <f t="shared" si="263"/>
        <v>41922</v>
      </c>
      <c r="D2190" s="37" t="s">
        <v>1384</v>
      </c>
      <c r="E2190" s="191">
        <v>41922</v>
      </c>
      <c r="F2190" s="192" t="s">
        <v>663</v>
      </c>
      <c r="G2190" s="468" t="s">
        <v>735</v>
      </c>
      <c r="H2190" s="7" t="s">
        <v>1377</v>
      </c>
      <c r="I2190" s="256">
        <v>173</v>
      </c>
      <c r="J2190" s="256">
        <v>7896.4922814891506</v>
      </c>
      <c r="K2190" s="568">
        <f t="shared" si="262"/>
        <v>1366093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6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54"/>
    </row>
    <row r="2191" spans="1:30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261"/>
        <v>10</v>
      </c>
      <c r="C2191" s="37">
        <f t="shared" si="263"/>
        <v>41922</v>
      </c>
      <c r="D2191" s="37" t="s">
        <v>1384</v>
      </c>
      <c r="E2191" s="191">
        <v>41922</v>
      </c>
      <c r="F2191" s="192" t="s">
        <v>663</v>
      </c>
      <c r="G2191" s="468" t="s">
        <v>735</v>
      </c>
      <c r="H2191" s="7" t="s">
        <v>1377</v>
      </c>
      <c r="I2191" s="256">
        <v>287</v>
      </c>
      <c r="J2191" s="256">
        <v>7896.4922814891506</v>
      </c>
      <c r="K2191" s="568">
        <f t="shared" si="262"/>
        <v>2266293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6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54"/>
    </row>
    <row r="2192" spans="1:30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261"/>
        <v>10</v>
      </c>
      <c r="C2192" s="37">
        <f t="shared" si="263"/>
        <v>41922</v>
      </c>
      <c r="D2192" s="37" t="s">
        <v>1384</v>
      </c>
      <c r="E2192" s="191">
        <v>41922</v>
      </c>
      <c r="F2192" s="189" t="s">
        <v>736</v>
      </c>
      <c r="G2192" s="468" t="s">
        <v>735</v>
      </c>
      <c r="H2192" s="7" t="s">
        <v>1377</v>
      </c>
      <c r="I2192" s="256">
        <v>454</v>
      </c>
      <c r="J2192" s="256">
        <v>6662.6653625064719</v>
      </c>
      <c r="K2192" s="568">
        <f t="shared" si="262"/>
        <v>3024850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54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261"/>
        <v>10</v>
      </c>
      <c r="C2193" s="37">
        <f t="shared" si="263"/>
        <v>41922</v>
      </c>
      <c r="D2193" s="37" t="s">
        <v>1384</v>
      </c>
      <c r="E2193" s="191">
        <v>41922</v>
      </c>
      <c r="F2193" s="192" t="s">
        <v>736</v>
      </c>
      <c r="G2193" s="468" t="s">
        <v>735</v>
      </c>
      <c r="H2193" s="7" t="s">
        <v>1377</v>
      </c>
      <c r="I2193" s="256">
        <v>160</v>
      </c>
      <c r="J2193" s="256">
        <v>6662.6653625064719</v>
      </c>
      <c r="K2193" s="568">
        <f t="shared" si="262"/>
        <v>1066026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6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54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261"/>
        <v>10</v>
      </c>
      <c r="C2194" s="37">
        <f t="shared" si="263"/>
        <v>41922</v>
      </c>
      <c r="D2194" s="37" t="s">
        <v>1384</v>
      </c>
      <c r="E2194" s="191">
        <v>41922</v>
      </c>
      <c r="F2194" s="192" t="s">
        <v>624</v>
      </c>
      <c r="G2194" s="468" t="s">
        <v>735</v>
      </c>
      <c r="H2194" s="7" t="s">
        <v>1377</v>
      </c>
      <c r="I2194" s="256">
        <v>4800</v>
      </c>
      <c r="J2194" s="256">
        <v>493.53076759307191</v>
      </c>
      <c r="K2194" s="568">
        <f t="shared" si="262"/>
        <v>2368948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6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54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261"/>
        <v>10</v>
      </c>
      <c r="C2195" s="37">
        <f t="shared" si="263"/>
        <v>41926</v>
      </c>
      <c r="D2195" s="37" t="s">
        <v>1384</v>
      </c>
      <c r="E2195" s="191">
        <v>41926</v>
      </c>
      <c r="F2195" s="192" t="s">
        <v>707</v>
      </c>
      <c r="G2195" s="468" t="s">
        <v>737</v>
      </c>
      <c r="H2195" s="7" t="s">
        <v>1377</v>
      </c>
      <c r="I2195" s="256">
        <v>1635</v>
      </c>
      <c r="J2195" s="256">
        <v>7978.7474094213294</v>
      </c>
      <c r="K2195" s="568">
        <f t="shared" si="262"/>
        <v>13045252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54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261"/>
        <v>10</v>
      </c>
      <c r="C2196" s="37">
        <f t="shared" si="263"/>
        <v>41926</v>
      </c>
      <c r="D2196" s="37" t="s">
        <v>1384</v>
      </c>
      <c r="E2196" s="191">
        <v>41926</v>
      </c>
      <c r="F2196" s="192" t="s">
        <v>495</v>
      </c>
      <c r="G2196" s="468" t="s">
        <v>738</v>
      </c>
      <c r="H2196" s="7" t="s">
        <v>1377</v>
      </c>
      <c r="I2196" s="256">
        <v>197</v>
      </c>
      <c r="J2196" s="256">
        <v>6744.9204904386497</v>
      </c>
      <c r="K2196" s="568">
        <f t="shared" si="262"/>
        <v>1328749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6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54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261"/>
        <v>10</v>
      </c>
      <c r="C2197" s="37">
        <f t="shared" si="263"/>
        <v>41926</v>
      </c>
      <c r="D2197" s="37" t="s">
        <v>1384</v>
      </c>
      <c r="E2197" s="191">
        <v>41926</v>
      </c>
      <c r="F2197" s="192" t="s">
        <v>513</v>
      </c>
      <c r="G2197" s="468" t="s">
        <v>738</v>
      </c>
      <c r="H2197" s="7" t="s">
        <v>1377</v>
      </c>
      <c r="I2197" s="256">
        <v>300</v>
      </c>
      <c r="J2197" s="256">
        <v>5757.8589552525054</v>
      </c>
      <c r="K2197" s="568">
        <f t="shared" si="262"/>
        <v>1727358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6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54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261"/>
        <v>10</v>
      </c>
      <c r="C2198" s="37">
        <f t="shared" si="263"/>
        <v>41926</v>
      </c>
      <c r="D2198" s="37" t="s">
        <v>1384</v>
      </c>
      <c r="E2198" s="191">
        <v>41926</v>
      </c>
      <c r="F2198" s="192" t="s">
        <v>739</v>
      </c>
      <c r="G2198" s="468" t="s">
        <v>738</v>
      </c>
      <c r="H2198" s="7" t="s">
        <v>1377</v>
      </c>
      <c r="I2198" s="256">
        <v>42</v>
      </c>
      <c r="J2198" s="256">
        <v>1151.5717910505014</v>
      </c>
      <c r="K2198" s="568">
        <f t="shared" si="262"/>
        <v>48366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6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54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261"/>
        <v>10</v>
      </c>
      <c r="C2199" s="37">
        <f t="shared" si="263"/>
        <v>41926</v>
      </c>
      <c r="D2199" s="37" t="s">
        <v>1384</v>
      </c>
      <c r="E2199" s="191">
        <v>41926</v>
      </c>
      <c r="F2199" s="192" t="s">
        <v>487</v>
      </c>
      <c r="G2199" s="468" t="s">
        <v>738</v>
      </c>
      <c r="H2199" s="7" t="s">
        <v>1377</v>
      </c>
      <c r="I2199" s="256">
        <v>297</v>
      </c>
      <c r="J2199" s="256">
        <v>7320.7063859639002</v>
      </c>
      <c r="K2199" s="568">
        <f t="shared" si="262"/>
        <v>2174250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6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54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261"/>
        <v>10</v>
      </c>
      <c r="C2200" s="37">
        <f t="shared" si="263"/>
        <v>41926</v>
      </c>
      <c r="D2200" s="37" t="s">
        <v>1384</v>
      </c>
      <c r="E2200" s="191">
        <v>41926</v>
      </c>
      <c r="F2200" s="192" t="s">
        <v>740</v>
      </c>
      <c r="G2200" s="468" t="s">
        <v>741</v>
      </c>
      <c r="H2200" s="7" t="s">
        <v>1377</v>
      </c>
      <c r="I2200" s="256">
        <v>135</v>
      </c>
      <c r="J2200" s="256">
        <v>8472.2781770144011</v>
      </c>
      <c r="K2200" s="568">
        <f t="shared" si="262"/>
        <v>1143758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54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261"/>
        <v>10</v>
      </c>
      <c r="C2201" s="37">
        <f t="shared" si="263"/>
        <v>41926</v>
      </c>
      <c r="D2201" s="37" t="s">
        <v>1384</v>
      </c>
      <c r="E2201" s="191">
        <v>41926</v>
      </c>
      <c r="F2201" s="192" t="s">
        <v>740</v>
      </c>
      <c r="G2201" s="468" t="s">
        <v>741</v>
      </c>
      <c r="H2201" s="7" t="s">
        <v>1377</v>
      </c>
      <c r="I2201" s="256">
        <v>280</v>
      </c>
      <c r="J2201" s="256">
        <v>8472.2781770144011</v>
      </c>
      <c r="K2201" s="568">
        <f t="shared" si="262"/>
        <v>2372238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54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261"/>
        <v>10</v>
      </c>
      <c r="C2202" s="37">
        <f t="shared" si="263"/>
        <v>41928</v>
      </c>
      <c r="D2202" s="37" t="s">
        <v>1384</v>
      </c>
      <c r="E2202" s="191">
        <v>41928</v>
      </c>
      <c r="F2202" s="192" t="s">
        <v>742</v>
      </c>
      <c r="G2202" s="468" t="s">
        <v>743</v>
      </c>
      <c r="H2202" s="7" t="s">
        <v>1377</v>
      </c>
      <c r="I2202" s="256">
        <v>2960</v>
      </c>
      <c r="J2202" s="256">
        <v>5593.3486993881488</v>
      </c>
      <c r="K2202" s="568">
        <f t="shared" si="262"/>
        <v>16556312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6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54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261"/>
        <v>10</v>
      </c>
      <c r="C2203" s="37">
        <f t="shared" si="263"/>
        <v>41929</v>
      </c>
      <c r="D2203" s="37" t="s">
        <v>1384</v>
      </c>
      <c r="E2203" s="191">
        <v>41929</v>
      </c>
      <c r="F2203" s="192" t="s">
        <v>613</v>
      </c>
      <c r="G2203" s="468" t="s">
        <v>744</v>
      </c>
      <c r="H2203" s="7" t="s">
        <v>1377</v>
      </c>
      <c r="I2203" s="256">
        <v>500</v>
      </c>
      <c r="J2203" s="256">
        <v>4359.5217804054691</v>
      </c>
      <c r="K2203" s="568">
        <f t="shared" si="262"/>
        <v>2179761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6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54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261"/>
        <v>10</v>
      </c>
      <c r="C2204" s="37">
        <f t="shared" si="263"/>
        <v>41934</v>
      </c>
      <c r="D2204" s="37" t="s">
        <v>1384</v>
      </c>
      <c r="E2204" s="191">
        <v>41934</v>
      </c>
      <c r="F2204" s="192" t="s">
        <v>745</v>
      </c>
      <c r="G2204" s="468" t="s">
        <v>746</v>
      </c>
      <c r="H2204" s="7" t="s">
        <v>1377</v>
      </c>
      <c r="I2204" s="256">
        <v>164</v>
      </c>
      <c r="J2204" s="256">
        <v>20975.057622705557</v>
      </c>
      <c r="K2204" s="568">
        <f t="shared" si="262"/>
        <v>3439909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6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54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261"/>
        <v>10</v>
      </c>
      <c r="C2205" s="37">
        <f t="shared" si="263"/>
        <v>41934</v>
      </c>
      <c r="D2205" s="37" t="s">
        <v>1384</v>
      </c>
      <c r="E2205" s="191">
        <v>41934</v>
      </c>
      <c r="F2205" s="192" t="s">
        <v>747</v>
      </c>
      <c r="G2205" s="468" t="s">
        <v>746</v>
      </c>
      <c r="H2205" s="7" t="s">
        <v>1377</v>
      </c>
      <c r="I2205" s="256">
        <v>328</v>
      </c>
      <c r="J2205" s="256">
        <v>1233.8269189826799</v>
      </c>
      <c r="K2205" s="568">
        <f t="shared" si="262"/>
        <v>404695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54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261"/>
        <v>10</v>
      </c>
      <c r="C2206" s="37">
        <f t="shared" si="263"/>
        <v>41934</v>
      </c>
      <c r="D2206" s="37" t="s">
        <v>1384</v>
      </c>
      <c r="E2206" s="191">
        <v>41934</v>
      </c>
      <c r="F2206" s="192" t="s">
        <v>748</v>
      </c>
      <c r="G2206" s="468" t="s">
        <v>749</v>
      </c>
      <c r="H2206" s="7" t="s">
        <v>1377</v>
      </c>
      <c r="I2206" s="256">
        <v>738</v>
      </c>
      <c r="J2206" s="256">
        <v>14641.4127719278</v>
      </c>
      <c r="K2206" s="568">
        <f t="shared" si="262"/>
        <v>10805363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54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261"/>
        <v>10</v>
      </c>
      <c r="C2207" s="37">
        <f t="shared" si="263"/>
        <v>41934</v>
      </c>
      <c r="D2207" s="37" t="s">
        <v>1384</v>
      </c>
      <c r="E2207" s="191">
        <v>41934</v>
      </c>
      <c r="F2207" s="192" t="s">
        <v>713</v>
      </c>
      <c r="G2207" s="468" t="s">
        <v>749</v>
      </c>
      <c r="H2207" s="7" t="s">
        <v>1377</v>
      </c>
      <c r="I2207" s="256">
        <v>30</v>
      </c>
      <c r="J2207" s="256">
        <v>9952.8704797936171</v>
      </c>
      <c r="K2207" s="568">
        <f t="shared" si="262"/>
        <v>298586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54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261"/>
        <v>10</v>
      </c>
      <c r="C2208" s="37">
        <f t="shared" si="263"/>
        <v>41935</v>
      </c>
      <c r="D2208" s="37" t="s">
        <v>1384</v>
      </c>
      <c r="E2208" s="730">
        <v>41935</v>
      </c>
      <c r="F2208" s="40" t="s">
        <v>653</v>
      </c>
      <c r="G2208" s="40" t="s">
        <v>750</v>
      </c>
      <c r="H2208" s="7" t="s">
        <v>1377</v>
      </c>
      <c r="I2208" s="256">
        <v>4080</v>
      </c>
      <c r="J2208" s="256">
        <v>6086.8794669812205</v>
      </c>
      <c r="K2208" s="568">
        <f t="shared" si="262"/>
        <v>24834468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54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261"/>
        <v>10</v>
      </c>
      <c r="C2209" s="37">
        <f t="shared" si="263"/>
        <v>41937</v>
      </c>
      <c r="D2209" s="37" t="s">
        <v>1384</v>
      </c>
      <c r="E2209" s="730">
        <v>41937</v>
      </c>
      <c r="F2209" s="40" t="s">
        <v>437</v>
      </c>
      <c r="G2209" s="40" t="s">
        <v>751</v>
      </c>
      <c r="H2209" s="7" t="s">
        <v>1377</v>
      </c>
      <c r="I2209" s="256">
        <v>388</v>
      </c>
      <c r="J2209" s="256">
        <v>7814.2371535569719</v>
      </c>
      <c r="K2209" s="568">
        <f t="shared" si="262"/>
        <v>3031924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54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261"/>
        <v>10</v>
      </c>
      <c r="C2210" s="37">
        <f t="shared" si="263"/>
        <v>41937</v>
      </c>
      <c r="D2210" s="37" t="s">
        <v>1384</v>
      </c>
      <c r="E2210" s="730">
        <v>41937</v>
      </c>
      <c r="F2210" s="189" t="s">
        <v>567</v>
      </c>
      <c r="G2210" s="40" t="s">
        <v>751</v>
      </c>
      <c r="H2210" s="7" t="s">
        <v>1377</v>
      </c>
      <c r="I2210" s="256">
        <v>405</v>
      </c>
      <c r="J2210" s="256">
        <v>7978.7474094213294</v>
      </c>
      <c r="K2210" s="568">
        <f t="shared" si="262"/>
        <v>3231393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54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261"/>
        <v>10</v>
      </c>
      <c r="C2211" s="37">
        <f t="shared" si="263"/>
        <v>41940</v>
      </c>
      <c r="D2211" s="37" t="s">
        <v>1384</v>
      </c>
      <c r="E2211" s="730">
        <v>41940</v>
      </c>
      <c r="F2211" s="40" t="s">
        <v>752</v>
      </c>
      <c r="G2211" s="40" t="s">
        <v>753</v>
      </c>
      <c r="H2211" s="7" t="s">
        <v>1377</v>
      </c>
      <c r="I2211" s="256">
        <v>57</v>
      </c>
      <c r="J2211" s="256">
        <v>20892.802494773379</v>
      </c>
      <c r="K2211" s="568">
        <f t="shared" si="262"/>
        <v>1190890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54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261"/>
        <v>10</v>
      </c>
      <c r="C2212" s="37">
        <f t="shared" si="263"/>
        <v>41940</v>
      </c>
      <c r="D2212" s="37" t="s">
        <v>1384</v>
      </c>
      <c r="E2212" s="730">
        <v>41940</v>
      </c>
      <c r="F2212" s="189" t="s">
        <v>754</v>
      </c>
      <c r="G2212" s="40" t="s">
        <v>753</v>
      </c>
      <c r="H2212" s="7" t="s">
        <v>1377</v>
      </c>
      <c r="I2212" s="256">
        <v>236</v>
      </c>
      <c r="J2212" s="256">
        <v>16862.301226096624</v>
      </c>
      <c r="K2212" s="568">
        <f t="shared" si="262"/>
        <v>3979503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54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261"/>
        <v>10</v>
      </c>
      <c r="C2213" s="37">
        <f t="shared" si="263"/>
        <v>41940</v>
      </c>
      <c r="D2213" s="37" t="s">
        <v>1384</v>
      </c>
      <c r="E2213" s="730">
        <v>41940</v>
      </c>
      <c r="F2213" s="189" t="s">
        <v>747</v>
      </c>
      <c r="G2213" s="40" t="s">
        <v>753</v>
      </c>
      <c r="H2213" s="7" t="s">
        <v>1377</v>
      </c>
      <c r="I2213" s="256">
        <v>586</v>
      </c>
      <c r="J2213" s="256">
        <v>1233.8269189826799</v>
      </c>
      <c r="K2213" s="568">
        <f t="shared" si="262"/>
        <v>723023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54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261"/>
        <v>10</v>
      </c>
      <c r="C2214" s="37">
        <f t="shared" si="263"/>
        <v>41940</v>
      </c>
      <c r="D2214" s="37" t="s">
        <v>1384</v>
      </c>
      <c r="E2214" s="730">
        <v>41940</v>
      </c>
      <c r="F2214" s="189" t="s">
        <v>755</v>
      </c>
      <c r="G2214" s="40" t="s">
        <v>756</v>
      </c>
      <c r="H2214" s="7" t="s">
        <v>1377</v>
      </c>
      <c r="I2214" s="256">
        <v>1028</v>
      </c>
      <c r="J2214" s="256">
        <v>5264.3281876594338</v>
      </c>
      <c r="K2214" s="568">
        <f t="shared" si="262"/>
        <v>5411729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6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54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261"/>
        <v>10</v>
      </c>
      <c r="C2215" s="37">
        <f t="shared" si="263"/>
        <v>41941</v>
      </c>
      <c r="D2215" s="37" t="s">
        <v>1384</v>
      </c>
      <c r="E2215" s="730">
        <v>41941</v>
      </c>
      <c r="F2215" s="189" t="s">
        <v>1208</v>
      </c>
      <c r="G2215" s="40" t="s">
        <v>757</v>
      </c>
      <c r="H2215" s="7" t="s">
        <v>1377</v>
      </c>
      <c r="I2215" s="256">
        <v>500</v>
      </c>
      <c r="J2215" s="256">
        <v>658.04102345742922</v>
      </c>
      <c r="K2215" s="568">
        <f t="shared" si="262"/>
        <v>329021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6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54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261"/>
        <v>10</v>
      </c>
      <c r="C2216" s="37">
        <f t="shared" si="263"/>
        <v>41941</v>
      </c>
      <c r="D2216" s="37" t="s">
        <v>1384</v>
      </c>
      <c r="E2216" s="730">
        <v>41941</v>
      </c>
      <c r="F2216" s="189" t="s">
        <v>1209</v>
      </c>
      <c r="G2216" s="40" t="s">
        <v>757</v>
      </c>
      <c r="H2216" s="7" t="s">
        <v>1377</v>
      </c>
      <c r="I2216" s="256">
        <v>500</v>
      </c>
      <c r="J2216" s="256">
        <v>493.53076759307191</v>
      </c>
      <c r="K2216" s="568">
        <f t="shared" si="262"/>
        <v>246765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54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261"/>
        <v>10</v>
      </c>
      <c r="C2217" s="37">
        <f t="shared" si="263"/>
        <v>41941</v>
      </c>
      <c r="D2217" s="37" t="s">
        <v>1384</v>
      </c>
      <c r="E2217" s="730">
        <v>41941</v>
      </c>
      <c r="F2217" s="40" t="s">
        <v>1210</v>
      </c>
      <c r="G2217" s="40" t="s">
        <v>757</v>
      </c>
      <c r="H2217" s="7" t="s">
        <v>1377</v>
      </c>
      <c r="I2217" s="256">
        <v>500</v>
      </c>
      <c r="J2217" s="256">
        <v>1398.3371748470372</v>
      </c>
      <c r="K2217" s="568">
        <f t="shared" si="262"/>
        <v>699169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54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261"/>
        <v>10</v>
      </c>
      <c r="C2218" s="37">
        <f t="shared" si="263"/>
        <v>41942</v>
      </c>
      <c r="D2218" s="37" t="s">
        <v>1384</v>
      </c>
      <c r="E2218" s="730">
        <v>41942</v>
      </c>
      <c r="F2218" s="40" t="s">
        <v>1211</v>
      </c>
      <c r="G2218" s="40" t="s">
        <v>758</v>
      </c>
      <c r="H2218" s="7" t="s">
        <v>1377</v>
      </c>
      <c r="I2218" s="256">
        <v>595</v>
      </c>
      <c r="J2218" s="256">
        <v>9377.0845842683666</v>
      </c>
      <c r="K2218" s="568">
        <f t="shared" si="262"/>
        <v>5579365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6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54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261"/>
        <v>10</v>
      </c>
      <c r="C2219" s="37">
        <f t="shared" si="263"/>
        <v>41942</v>
      </c>
      <c r="D2219" s="37" t="s">
        <v>1384</v>
      </c>
      <c r="E2219" s="730">
        <v>41942</v>
      </c>
      <c r="F2219" s="40" t="s">
        <v>446</v>
      </c>
      <c r="G2219" s="40" t="s">
        <v>758</v>
      </c>
      <c r="H2219" s="7" t="s">
        <v>1377</v>
      </c>
      <c r="I2219" s="256">
        <v>1190</v>
      </c>
      <c r="J2219" s="256">
        <v>822.55127932178664</v>
      </c>
      <c r="K2219" s="568">
        <f t="shared" si="262"/>
        <v>978836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6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54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261"/>
        <v>10</v>
      </c>
      <c r="C2220" s="37">
        <f t="shared" si="263"/>
        <v>41942</v>
      </c>
      <c r="D2220" s="37" t="s">
        <v>1384</v>
      </c>
      <c r="E2220" s="730">
        <v>41942</v>
      </c>
      <c r="F2220" s="40" t="s">
        <v>460</v>
      </c>
      <c r="G2220" s="40" t="s">
        <v>759</v>
      </c>
      <c r="H2220" s="7" t="s">
        <v>1377</v>
      </c>
      <c r="I2220" s="256">
        <v>1005</v>
      </c>
      <c r="J2220" s="256">
        <v>7567.4717697604365</v>
      </c>
      <c r="K2220" s="568">
        <f t="shared" si="262"/>
        <v>7605309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6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54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261"/>
        <v>11</v>
      </c>
      <c r="C2221" s="37">
        <f t="shared" si="263"/>
        <v>41947</v>
      </c>
      <c r="D2221" s="37" t="s">
        <v>1384</v>
      </c>
      <c r="E2221" s="730">
        <v>41947</v>
      </c>
      <c r="F2221" s="192" t="s">
        <v>513</v>
      </c>
      <c r="G2221" s="40" t="s">
        <v>760</v>
      </c>
      <c r="H2221" s="7" t="s">
        <v>1377</v>
      </c>
      <c r="I2221" s="256">
        <v>300</v>
      </c>
      <c r="J2221" s="256">
        <v>5757.8589552525054</v>
      </c>
      <c r="K2221" s="568">
        <f t="shared" si="262"/>
        <v>1727358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54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261"/>
        <v>11</v>
      </c>
      <c r="C2222" s="37">
        <f t="shared" si="263"/>
        <v>41947</v>
      </c>
      <c r="D2222" s="37" t="s">
        <v>1384</v>
      </c>
      <c r="E2222" s="730">
        <v>41947</v>
      </c>
      <c r="F2222" s="40" t="s">
        <v>487</v>
      </c>
      <c r="G2222" s="40" t="s">
        <v>760</v>
      </c>
      <c r="H2222" s="7" t="s">
        <v>1377</v>
      </c>
      <c r="I2222" s="256">
        <v>300</v>
      </c>
      <c r="J2222" s="256">
        <v>7320.7063859639002</v>
      </c>
      <c r="K2222" s="568">
        <f t="shared" si="262"/>
        <v>2196212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54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261"/>
        <v>11</v>
      </c>
      <c r="C2223" s="37">
        <f t="shared" si="263"/>
        <v>41947</v>
      </c>
      <c r="D2223" s="37" t="s">
        <v>1384</v>
      </c>
      <c r="E2223" s="730">
        <v>41947</v>
      </c>
      <c r="F2223" s="40" t="s">
        <v>761</v>
      </c>
      <c r="G2223" s="40" t="s">
        <v>762</v>
      </c>
      <c r="H2223" s="7" t="s">
        <v>1377</v>
      </c>
      <c r="I2223" s="256">
        <v>224</v>
      </c>
      <c r="J2223" s="256">
        <v>19165.444808197626</v>
      </c>
      <c r="K2223" s="568">
        <f t="shared" si="262"/>
        <v>4293060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6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54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261"/>
        <v>11</v>
      </c>
      <c r="C2224" s="37">
        <f t="shared" si="263"/>
        <v>41947</v>
      </c>
      <c r="D2224" s="37" t="s">
        <v>1384</v>
      </c>
      <c r="E2224" s="730">
        <v>41947</v>
      </c>
      <c r="F2224" s="40" t="s">
        <v>747</v>
      </c>
      <c r="G2224" s="40" t="s">
        <v>762</v>
      </c>
      <c r="H2224" s="7" t="s">
        <v>1377</v>
      </c>
      <c r="I2224" s="256">
        <v>448</v>
      </c>
      <c r="J2224" s="256">
        <v>1233.8269189826799</v>
      </c>
      <c r="K2224" s="568">
        <f t="shared" si="262"/>
        <v>552754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54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261"/>
        <v>11</v>
      </c>
      <c r="C2225" s="37">
        <f t="shared" si="263"/>
        <v>41947</v>
      </c>
      <c r="D2225" s="37" t="s">
        <v>1384</v>
      </c>
      <c r="E2225" s="730">
        <v>41947</v>
      </c>
      <c r="F2225" s="40" t="s">
        <v>467</v>
      </c>
      <c r="G2225" s="40" t="s">
        <v>763</v>
      </c>
      <c r="H2225" s="7" t="s">
        <v>1377</v>
      </c>
      <c r="I2225" s="256">
        <v>1529</v>
      </c>
      <c r="J2225" s="256">
        <v>4277.2666524732904</v>
      </c>
      <c r="K2225" s="568">
        <f t="shared" si="262"/>
        <v>6539941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54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261"/>
        <v>11</v>
      </c>
      <c r="C2226" s="37">
        <f t="shared" si="263"/>
        <v>41948</v>
      </c>
      <c r="D2226" s="37" t="s">
        <v>1384</v>
      </c>
      <c r="E2226" s="730">
        <v>41948</v>
      </c>
      <c r="F2226" s="192" t="s">
        <v>584</v>
      </c>
      <c r="G2226" s="40" t="s">
        <v>764</v>
      </c>
      <c r="H2226" s="7" t="s">
        <v>1377</v>
      </c>
      <c r="I2226" s="256">
        <v>11</v>
      </c>
      <c r="J2226" s="256">
        <v>14230.137132266907</v>
      </c>
      <c r="K2226" s="568">
        <f t="shared" si="262"/>
        <v>156532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54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261"/>
        <v>11</v>
      </c>
      <c r="C2227" s="37">
        <f t="shared" si="263"/>
        <v>41948</v>
      </c>
      <c r="D2227" s="37" t="s">
        <v>1384</v>
      </c>
      <c r="E2227" s="730">
        <v>41948</v>
      </c>
      <c r="F2227" s="443" t="s">
        <v>708</v>
      </c>
      <c r="G2227" s="40" t="s">
        <v>764</v>
      </c>
      <c r="H2227" s="7" t="s">
        <v>1377</v>
      </c>
      <c r="I2227" s="256">
        <v>126</v>
      </c>
      <c r="J2227" s="256">
        <v>10610.911503251047</v>
      </c>
      <c r="K2227" s="568">
        <f t="shared" si="262"/>
        <v>1336975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54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261"/>
        <v>11</v>
      </c>
      <c r="C2228" s="37">
        <f t="shared" si="263"/>
        <v>41948</v>
      </c>
      <c r="D2228" s="37" t="s">
        <v>1384</v>
      </c>
      <c r="E2228" s="730">
        <v>41948</v>
      </c>
      <c r="F2228" s="40" t="s">
        <v>607</v>
      </c>
      <c r="G2228" s="40" t="s">
        <v>764</v>
      </c>
      <c r="H2228" s="7" t="s">
        <v>1377</v>
      </c>
      <c r="I2228" s="256">
        <v>150</v>
      </c>
      <c r="J2228" s="256">
        <v>9788.3602239292595</v>
      </c>
      <c r="K2228" s="568">
        <f t="shared" si="262"/>
        <v>1468254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6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54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261"/>
        <v>11</v>
      </c>
      <c r="C2229" s="37">
        <f t="shared" si="263"/>
        <v>41948</v>
      </c>
      <c r="D2229" s="37" t="s">
        <v>1384</v>
      </c>
      <c r="E2229" s="730">
        <v>41948</v>
      </c>
      <c r="F2229" s="189" t="s">
        <v>708</v>
      </c>
      <c r="G2229" s="40" t="s">
        <v>764</v>
      </c>
      <c r="H2229" s="7" t="s">
        <v>1377</v>
      </c>
      <c r="I2229" s="256">
        <v>221</v>
      </c>
      <c r="J2229" s="256">
        <v>10610.911503251047</v>
      </c>
      <c r="K2229" s="568">
        <f t="shared" si="262"/>
        <v>2345011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854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261"/>
        <v>11</v>
      </c>
      <c r="C2230" s="37">
        <f t="shared" si="263"/>
        <v>41948</v>
      </c>
      <c r="D2230" s="37" t="s">
        <v>1384</v>
      </c>
      <c r="E2230" s="730">
        <v>41948</v>
      </c>
      <c r="F2230" s="40" t="s">
        <v>584</v>
      </c>
      <c r="G2230" s="40" t="s">
        <v>764</v>
      </c>
      <c r="H2230" s="7" t="s">
        <v>1377</v>
      </c>
      <c r="I2230" s="256">
        <v>25</v>
      </c>
      <c r="J2230" s="256">
        <v>14230.137132266907</v>
      </c>
      <c r="K2230" s="568">
        <f t="shared" si="262"/>
        <v>355753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854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261"/>
        <v>11</v>
      </c>
      <c r="C2231" s="37">
        <f t="shared" si="263"/>
        <v>41948</v>
      </c>
      <c r="D2231" s="37" t="s">
        <v>1384</v>
      </c>
      <c r="E2231" s="730">
        <v>41948</v>
      </c>
      <c r="F2231" s="192" t="s">
        <v>609</v>
      </c>
      <c r="G2231" s="40" t="s">
        <v>764</v>
      </c>
      <c r="H2231" s="7" t="s">
        <v>1377</v>
      </c>
      <c r="I2231" s="256">
        <v>55</v>
      </c>
      <c r="J2231" s="256">
        <v>12667.289701555514</v>
      </c>
      <c r="K2231" s="568">
        <f t="shared" si="262"/>
        <v>696701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854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261"/>
        <v>11</v>
      </c>
      <c r="C2232" s="37">
        <f t="shared" si="263"/>
        <v>41948</v>
      </c>
      <c r="D2232" s="37" t="s">
        <v>1384</v>
      </c>
      <c r="E2232" s="730">
        <v>41948</v>
      </c>
      <c r="F2232" s="40" t="s">
        <v>708</v>
      </c>
      <c r="G2232" s="40" t="s">
        <v>764</v>
      </c>
      <c r="H2232" s="7" t="s">
        <v>1377</v>
      </c>
      <c r="I2232" s="256">
        <v>70</v>
      </c>
      <c r="J2232" s="256">
        <v>10610.911503251047</v>
      </c>
      <c r="K2232" s="568">
        <f t="shared" si="262"/>
        <v>742764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854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261"/>
        <v>11</v>
      </c>
      <c r="C2233" s="37">
        <f t="shared" si="263"/>
        <v>41948</v>
      </c>
      <c r="D2233" s="37" t="s">
        <v>1384</v>
      </c>
      <c r="E2233" s="730">
        <v>41948</v>
      </c>
      <c r="F2233" s="192" t="s">
        <v>709</v>
      </c>
      <c r="G2233" s="40" t="s">
        <v>764</v>
      </c>
      <c r="H2233" s="7" t="s">
        <v>1377</v>
      </c>
      <c r="I2233" s="256">
        <v>101</v>
      </c>
      <c r="J2233" s="256">
        <v>9294.8294563361869</v>
      </c>
      <c r="K2233" s="568">
        <f t="shared" si="262"/>
        <v>938778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854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261"/>
        <v>11</v>
      </c>
      <c r="C2234" s="37">
        <f t="shared" si="263"/>
        <v>41948</v>
      </c>
      <c r="D2234" s="37" t="s">
        <v>1384</v>
      </c>
      <c r="E2234" s="730">
        <v>41948</v>
      </c>
      <c r="F2234" s="40" t="s">
        <v>790</v>
      </c>
      <c r="G2234" s="40" t="s">
        <v>764</v>
      </c>
      <c r="H2234" s="7" t="s">
        <v>1377</v>
      </c>
      <c r="I2234" s="256">
        <v>3030</v>
      </c>
      <c r="J2234" s="256">
        <v>8061.0025373535082</v>
      </c>
      <c r="K2234" s="568">
        <f t="shared" si="262"/>
        <v>24424838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854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ref="B2235:B2298" si="265">IF(C2235&lt;&gt;"",MONTH(C2235),"")</f>
        <v>11</v>
      </c>
      <c r="C2235" s="37">
        <f t="shared" si="263"/>
        <v>41950</v>
      </c>
      <c r="D2235" s="37" t="s">
        <v>1384</v>
      </c>
      <c r="E2235" s="730">
        <v>41950</v>
      </c>
      <c r="F2235" s="40" t="s">
        <v>765</v>
      </c>
      <c r="G2235" s="40" t="s">
        <v>766</v>
      </c>
      <c r="H2235" s="7" t="s">
        <v>1377</v>
      </c>
      <c r="I2235" s="256">
        <v>100</v>
      </c>
      <c r="J2235" s="256">
        <v>1974.1230703722877</v>
      </c>
      <c r="K2235" s="568">
        <f t="shared" ref="K2235:K2298" si="266">ROUND(I2235*J2235,0)</f>
        <v>197412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854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265"/>
        <v>11</v>
      </c>
      <c r="C2236" s="37">
        <f t="shared" ref="C2236:C2299" si="267">E2236</f>
        <v>41950</v>
      </c>
      <c r="D2236" s="37" t="s">
        <v>1384</v>
      </c>
      <c r="E2236" s="730">
        <v>41950</v>
      </c>
      <c r="F2236" s="40" t="s">
        <v>767</v>
      </c>
      <c r="G2236" s="40" t="s">
        <v>766</v>
      </c>
      <c r="H2236" s="7" t="s">
        <v>1377</v>
      </c>
      <c r="I2236" s="256">
        <v>100</v>
      </c>
      <c r="J2236" s="256">
        <v>13078.565341216407</v>
      </c>
      <c r="K2236" s="568">
        <f t="shared" si="266"/>
        <v>1307857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854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265"/>
        <v>11</v>
      </c>
      <c r="C2237" s="37">
        <f t="shared" si="267"/>
        <v>41950</v>
      </c>
      <c r="D2237" s="37" t="s">
        <v>1384</v>
      </c>
      <c r="E2237" s="730">
        <v>41950</v>
      </c>
      <c r="F2237" s="40" t="s">
        <v>768</v>
      </c>
      <c r="G2237" s="40" t="s">
        <v>766</v>
      </c>
      <c r="H2237" s="7" t="s">
        <v>1377</v>
      </c>
      <c r="I2237" s="256">
        <v>209</v>
      </c>
      <c r="J2237" s="256">
        <v>6004.6243390490417</v>
      </c>
      <c r="K2237" s="568">
        <f t="shared" si="266"/>
        <v>1254966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854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265"/>
        <v>11</v>
      </c>
      <c r="C2238" s="37">
        <f t="shared" si="267"/>
        <v>41950</v>
      </c>
      <c r="D2238" s="37" t="s">
        <v>1384</v>
      </c>
      <c r="E2238" s="730">
        <v>41950</v>
      </c>
      <c r="F2238" s="40" t="s">
        <v>594</v>
      </c>
      <c r="G2238" s="40" t="s">
        <v>769</v>
      </c>
      <c r="H2238" s="7" t="s">
        <v>1377</v>
      </c>
      <c r="I2238" s="256">
        <v>206</v>
      </c>
      <c r="J2238" s="256">
        <v>24594.283251721419</v>
      </c>
      <c r="K2238" s="568">
        <f t="shared" si="266"/>
        <v>5066422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854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265"/>
        <v>11</v>
      </c>
      <c r="C2239" s="37">
        <f t="shared" si="267"/>
        <v>41955</v>
      </c>
      <c r="D2239" s="37" t="s">
        <v>1384</v>
      </c>
      <c r="E2239" s="730">
        <v>41955</v>
      </c>
      <c r="F2239" s="40" t="s">
        <v>437</v>
      </c>
      <c r="G2239" s="40" t="s">
        <v>770</v>
      </c>
      <c r="H2239" s="7" t="s">
        <v>1377</v>
      </c>
      <c r="I2239" s="256">
        <v>504</v>
      </c>
      <c r="J2239" s="256">
        <v>7814.2371535569719</v>
      </c>
      <c r="K2239" s="568">
        <f t="shared" si="266"/>
        <v>3938376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854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265"/>
        <v>11</v>
      </c>
      <c r="C2240" s="37">
        <f t="shared" si="267"/>
        <v>41955</v>
      </c>
      <c r="D2240" s="37" t="s">
        <v>1384</v>
      </c>
      <c r="E2240" s="730">
        <v>41955</v>
      </c>
      <c r="F2240" s="40" t="s">
        <v>437</v>
      </c>
      <c r="G2240" s="40" t="s">
        <v>770</v>
      </c>
      <c r="H2240" s="7" t="s">
        <v>1377</v>
      </c>
      <c r="I2240" s="256">
        <v>318</v>
      </c>
      <c r="J2240" s="256">
        <v>7814.2371535569719</v>
      </c>
      <c r="K2240" s="568">
        <f t="shared" si="266"/>
        <v>2484927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854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265"/>
        <v>11</v>
      </c>
      <c r="C2241" s="37">
        <f t="shared" si="267"/>
        <v>41955</v>
      </c>
      <c r="D2241" s="37" t="s">
        <v>1384</v>
      </c>
      <c r="E2241" s="730">
        <v>41955</v>
      </c>
      <c r="F2241" s="40" t="s">
        <v>772</v>
      </c>
      <c r="G2241" s="40" t="s">
        <v>771</v>
      </c>
      <c r="H2241" s="7" t="s">
        <v>1377</v>
      </c>
      <c r="I2241" s="256">
        <v>347</v>
      </c>
      <c r="J2241" s="256">
        <v>19000.93455233327</v>
      </c>
      <c r="K2241" s="568">
        <f t="shared" si="266"/>
        <v>6593324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854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265"/>
        <v>11</v>
      </c>
      <c r="C2242" s="37">
        <f t="shared" si="267"/>
        <v>41955</v>
      </c>
      <c r="D2242" s="37" t="s">
        <v>1384</v>
      </c>
      <c r="E2242" s="730">
        <v>41955</v>
      </c>
      <c r="F2242" s="40" t="s">
        <v>773</v>
      </c>
      <c r="G2242" s="40" t="s">
        <v>771</v>
      </c>
      <c r="H2242" s="7" t="s">
        <v>1377</v>
      </c>
      <c r="I2242" s="256">
        <v>593</v>
      </c>
      <c r="J2242" s="256">
        <v>25170.069147246668</v>
      </c>
      <c r="K2242" s="568">
        <f t="shared" si="266"/>
        <v>14925851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854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265"/>
        <v>11</v>
      </c>
      <c r="C2243" s="37">
        <f t="shared" si="267"/>
        <v>41955</v>
      </c>
      <c r="D2243" s="37" t="s">
        <v>1384</v>
      </c>
      <c r="E2243" s="730">
        <v>41955</v>
      </c>
      <c r="F2243" s="40" t="s">
        <v>747</v>
      </c>
      <c r="G2243" s="40" t="s">
        <v>771</v>
      </c>
      <c r="H2243" s="7" t="s">
        <v>1377</v>
      </c>
      <c r="I2243" s="256">
        <v>1880</v>
      </c>
      <c r="J2243" s="256">
        <v>1233.8269189826799</v>
      </c>
      <c r="K2243" s="568">
        <f t="shared" si="266"/>
        <v>2319595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854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265"/>
        <v>11</v>
      </c>
      <c r="C2244" s="37">
        <f t="shared" si="267"/>
        <v>41956</v>
      </c>
      <c r="D2244" s="37" t="s">
        <v>1384</v>
      </c>
      <c r="E2244" s="730">
        <v>41956</v>
      </c>
      <c r="F2244" s="192" t="s">
        <v>671</v>
      </c>
      <c r="G2244" s="468" t="s">
        <v>774</v>
      </c>
      <c r="H2244" s="7" t="s">
        <v>1377</v>
      </c>
      <c r="I2244" s="256">
        <v>1010</v>
      </c>
      <c r="J2244" s="256">
        <v>7402.9615138960789</v>
      </c>
      <c r="K2244" s="568">
        <f t="shared" si="266"/>
        <v>7476991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854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265"/>
        <v>11</v>
      </c>
      <c r="C2245" s="37">
        <f t="shared" si="267"/>
        <v>41958</v>
      </c>
      <c r="D2245" s="37" t="s">
        <v>1384</v>
      </c>
      <c r="E2245" s="730">
        <v>41958</v>
      </c>
      <c r="F2245" s="192" t="s">
        <v>516</v>
      </c>
      <c r="G2245" s="468" t="s">
        <v>775</v>
      </c>
      <c r="H2245" s="7" t="s">
        <v>1377</v>
      </c>
      <c r="I2245" s="256">
        <v>1012</v>
      </c>
      <c r="J2245" s="256">
        <v>7073.9410021673648</v>
      </c>
      <c r="K2245" s="568">
        <f t="shared" si="266"/>
        <v>7158828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854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265"/>
        <v>11</v>
      </c>
      <c r="C2246" s="37">
        <f t="shared" si="267"/>
        <v>41960</v>
      </c>
      <c r="D2246" s="37" t="s">
        <v>1384</v>
      </c>
      <c r="E2246" s="730">
        <v>41960</v>
      </c>
      <c r="F2246" s="192" t="s">
        <v>776</v>
      </c>
      <c r="G2246" s="468" t="s">
        <v>777</v>
      </c>
      <c r="H2246" s="7" t="s">
        <v>1377</v>
      </c>
      <c r="I2246" s="256">
        <v>1990</v>
      </c>
      <c r="J2246" s="256">
        <v>7402.9615138960789</v>
      </c>
      <c r="K2246" s="568">
        <f t="shared" si="266"/>
        <v>14731893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854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265"/>
        <v>11</v>
      </c>
      <c r="C2247" s="37">
        <f t="shared" si="267"/>
        <v>41962</v>
      </c>
      <c r="D2247" s="37" t="s">
        <v>1384</v>
      </c>
      <c r="E2247" s="730">
        <v>41962</v>
      </c>
      <c r="F2247" s="192" t="s">
        <v>504</v>
      </c>
      <c r="G2247" s="468" t="s">
        <v>779</v>
      </c>
      <c r="H2247" s="7" t="s">
        <v>1377</v>
      </c>
      <c r="I2247" s="256">
        <v>609</v>
      </c>
      <c r="J2247" s="256">
        <v>7402.9615138960789</v>
      </c>
      <c r="K2247" s="568">
        <f t="shared" si="266"/>
        <v>4508404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854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265"/>
        <v>11</v>
      </c>
      <c r="C2248" s="37">
        <f t="shared" si="267"/>
        <v>41962</v>
      </c>
      <c r="D2248" s="37" t="s">
        <v>1384</v>
      </c>
      <c r="E2248" s="730">
        <v>41962</v>
      </c>
      <c r="F2248" s="192" t="s">
        <v>505</v>
      </c>
      <c r="G2248" s="468" t="s">
        <v>779</v>
      </c>
      <c r="H2248" s="7" t="s">
        <v>1377</v>
      </c>
      <c r="I2248" s="256">
        <v>213</v>
      </c>
      <c r="J2248" s="256">
        <v>7814.2371535569719</v>
      </c>
      <c r="K2248" s="568">
        <f t="shared" si="266"/>
        <v>1664433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854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265"/>
        <v>11</v>
      </c>
      <c r="C2249" s="37">
        <f t="shared" si="267"/>
        <v>41962</v>
      </c>
      <c r="D2249" s="37" t="s">
        <v>1384</v>
      </c>
      <c r="E2249" s="730">
        <v>41962</v>
      </c>
      <c r="F2249" s="192" t="s">
        <v>780</v>
      </c>
      <c r="G2249" s="468" t="s">
        <v>779</v>
      </c>
      <c r="H2249" s="7" t="s">
        <v>1377</v>
      </c>
      <c r="I2249" s="256">
        <v>796</v>
      </c>
      <c r="J2249" s="256">
        <v>6991.685874235186</v>
      </c>
      <c r="K2249" s="568">
        <f t="shared" si="266"/>
        <v>5565382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854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265"/>
        <v>11</v>
      </c>
      <c r="C2250" s="37">
        <f t="shared" si="267"/>
        <v>41962</v>
      </c>
      <c r="D2250" s="37" t="s">
        <v>1384</v>
      </c>
      <c r="E2250" s="730">
        <v>41962</v>
      </c>
      <c r="F2250" s="192" t="s">
        <v>406</v>
      </c>
      <c r="G2250" s="468" t="s">
        <v>779</v>
      </c>
      <c r="H2250" s="7" t="s">
        <v>1377</v>
      </c>
      <c r="I2250" s="256">
        <v>402</v>
      </c>
      <c r="J2250" s="256">
        <v>8143.2576652856869</v>
      </c>
      <c r="K2250" s="568">
        <f t="shared" si="266"/>
        <v>3273590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854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265"/>
        <v>11</v>
      </c>
      <c r="C2251" s="37">
        <f t="shared" si="267"/>
        <v>41962</v>
      </c>
      <c r="D2251" s="37" t="s">
        <v>1384</v>
      </c>
      <c r="E2251" s="730">
        <v>41962</v>
      </c>
      <c r="F2251" s="192" t="s">
        <v>781</v>
      </c>
      <c r="G2251" s="468" t="s">
        <v>782</v>
      </c>
      <c r="H2251" s="7" t="s">
        <v>1377</v>
      </c>
      <c r="I2251" s="256">
        <v>975</v>
      </c>
      <c r="J2251" s="256">
        <v>4524.0320362698267</v>
      </c>
      <c r="K2251" s="568">
        <f t="shared" si="266"/>
        <v>4410931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854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265"/>
        <v>11</v>
      </c>
      <c r="C2252" s="37">
        <f t="shared" si="267"/>
        <v>41962</v>
      </c>
      <c r="D2252" s="37" t="s">
        <v>1384</v>
      </c>
      <c r="E2252" s="730">
        <v>41962</v>
      </c>
      <c r="F2252" s="192" t="s">
        <v>784</v>
      </c>
      <c r="G2252" s="468" t="s">
        <v>782</v>
      </c>
      <c r="H2252" s="7" t="s">
        <v>1377</v>
      </c>
      <c r="I2252" s="256">
        <v>1000</v>
      </c>
      <c r="J2252" s="256">
        <v>658.04102345742922</v>
      </c>
      <c r="K2252" s="568">
        <f t="shared" si="266"/>
        <v>658041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854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265"/>
        <v>11</v>
      </c>
      <c r="C2253" s="37">
        <f t="shared" si="267"/>
        <v>41962</v>
      </c>
      <c r="D2253" s="37" t="s">
        <v>1384</v>
      </c>
      <c r="E2253" s="730">
        <v>41962</v>
      </c>
      <c r="F2253" s="192" t="s">
        <v>785</v>
      </c>
      <c r="G2253" s="468" t="s">
        <v>782</v>
      </c>
      <c r="H2253" s="7" t="s">
        <v>1377</v>
      </c>
      <c r="I2253" s="256">
        <v>1000</v>
      </c>
      <c r="J2253" s="256">
        <v>493.53076759307191</v>
      </c>
      <c r="K2253" s="568">
        <f t="shared" si="266"/>
        <v>493531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854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265"/>
        <v>11</v>
      </c>
      <c r="C2254" s="37">
        <f t="shared" si="267"/>
        <v>41962</v>
      </c>
      <c r="D2254" s="37" t="s">
        <v>1384</v>
      </c>
      <c r="E2254" s="730">
        <v>41962</v>
      </c>
      <c r="F2254" s="192" t="s">
        <v>786</v>
      </c>
      <c r="G2254" s="468" t="s">
        <v>782</v>
      </c>
      <c r="H2254" s="7" t="s">
        <v>1377</v>
      </c>
      <c r="I2254" s="256">
        <v>978</v>
      </c>
      <c r="J2254" s="256">
        <v>3372.4602452193249</v>
      </c>
      <c r="K2254" s="568">
        <f t="shared" si="266"/>
        <v>3298266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854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265"/>
        <v>11</v>
      </c>
      <c r="C2255" s="37">
        <f t="shared" si="267"/>
        <v>41962</v>
      </c>
      <c r="D2255" s="37" t="s">
        <v>1384</v>
      </c>
      <c r="E2255" s="730">
        <v>41962</v>
      </c>
      <c r="F2255" s="192" t="s">
        <v>787</v>
      </c>
      <c r="G2255" s="468" t="s">
        <v>782</v>
      </c>
      <c r="H2255" s="7" t="s">
        <v>1377</v>
      </c>
      <c r="I2255" s="256">
        <v>1000</v>
      </c>
      <c r="J2255" s="256">
        <v>575.78589552525068</v>
      </c>
      <c r="K2255" s="568">
        <f t="shared" si="266"/>
        <v>575786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854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265"/>
        <v>11</v>
      </c>
      <c r="C2256" s="37">
        <f t="shared" si="267"/>
        <v>41962</v>
      </c>
      <c r="D2256" s="37" t="s">
        <v>1384</v>
      </c>
      <c r="E2256" s="730">
        <v>41962</v>
      </c>
      <c r="F2256" s="189" t="s">
        <v>788</v>
      </c>
      <c r="G2256" s="468" t="s">
        <v>782</v>
      </c>
      <c r="H2256" s="7" t="s">
        <v>1377</v>
      </c>
      <c r="I2256" s="256">
        <v>1000</v>
      </c>
      <c r="J2256" s="256">
        <v>329.02051172871461</v>
      </c>
      <c r="K2256" s="568">
        <f t="shared" si="266"/>
        <v>329021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854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265"/>
        <v>11</v>
      </c>
      <c r="C2257" s="37">
        <f t="shared" si="267"/>
        <v>41963</v>
      </c>
      <c r="D2257" s="37" t="s">
        <v>1384</v>
      </c>
      <c r="E2257" s="730">
        <v>41963</v>
      </c>
      <c r="F2257" s="192" t="s">
        <v>460</v>
      </c>
      <c r="G2257" s="468" t="s">
        <v>789</v>
      </c>
      <c r="H2257" s="7" t="s">
        <v>1377</v>
      </c>
      <c r="I2257" s="256">
        <v>993</v>
      </c>
      <c r="J2257" s="256">
        <v>7567.4717697604365</v>
      </c>
      <c r="K2257" s="568">
        <f t="shared" si="266"/>
        <v>7514499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854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265"/>
        <v>11</v>
      </c>
      <c r="C2258" s="37">
        <f t="shared" si="267"/>
        <v>41963</v>
      </c>
      <c r="D2258" s="37" t="s">
        <v>1384</v>
      </c>
      <c r="E2258" s="730">
        <v>41963</v>
      </c>
      <c r="F2258" s="192" t="s">
        <v>790</v>
      </c>
      <c r="G2258" s="468" t="s">
        <v>791</v>
      </c>
      <c r="H2258" s="7" t="s">
        <v>1377</v>
      </c>
      <c r="I2258" s="256">
        <v>3030</v>
      </c>
      <c r="J2258" s="256">
        <v>8061.0025373535082</v>
      </c>
      <c r="K2258" s="568">
        <f t="shared" si="266"/>
        <v>24424838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54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265"/>
        <v>11</v>
      </c>
      <c r="C2259" s="37">
        <f t="shared" si="267"/>
        <v>41963</v>
      </c>
      <c r="D2259" s="37" t="s">
        <v>1384</v>
      </c>
      <c r="E2259" s="730">
        <v>41963</v>
      </c>
      <c r="F2259" s="192" t="s">
        <v>790</v>
      </c>
      <c r="G2259" s="468" t="s">
        <v>791</v>
      </c>
      <c r="H2259" s="7" t="s">
        <v>1377</v>
      </c>
      <c r="I2259" s="256">
        <v>219</v>
      </c>
      <c r="J2259" s="256">
        <v>8061.0025373535082</v>
      </c>
      <c r="K2259" s="568">
        <f t="shared" si="266"/>
        <v>1765360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54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265"/>
        <v>11</v>
      </c>
      <c r="C2260" s="37">
        <f t="shared" si="267"/>
        <v>41963</v>
      </c>
      <c r="D2260" s="37" t="s">
        <v>1384</v>
      </c>
      <c r="E2260" s="730">
        <v>41963</v>
      </c>
      <c r="F2260" s="192" t="s">
        <v>790</v>
      </c>
      <c r="G2260" s="468" t="s">
        <v>791</v>
      </c>
      <c r="H2260" s="7" t="s">
        <v>1377</v>
      </c>
      <c r="I2260" s="256">
        <v>3167</v>
      </c>
      <c r="J2260" s="256">
        <v>8061.0025373535082</v>
      </c>
      <c r="K2260" s="568">
        <f t="shared" si="266"/>
        <v>25529195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54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265"/>
        <v>11</v>
      </c>
      <c r="C2261" s="37">
        <f t="shared" si="267"/>
        <v>41964</v>
      </c>
      <c r="D2261" s="37" t="s">
        <v>1384</v>
      </c>
      <c r="E2261" s="730">
        <v>41964</v>
      </c>
      <c r="F2261" s="192" t="s">
        <v>1211</v>
      </c>
      <c r="G2261" s="468" t="s">
        <v>792</v>
      </c>
      <c r="H2261" s="7" t="s">
        <v>1377</v>
      </c>
      <c r="I2261" s="256">
        <v>780</v>
      </c>
      <c r="J2261" s="256">
        <v>9377.0845842683666</v>
      </c>
      <c r="K2261" s="568">
        <f t="shared" si="266"/>
        <v>7314126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54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265"/>
        <v>11</v>
      </c>
      <c r="C2262" s="37">
        <f t="shared" si="267"/>
        <v>41964</v>
      </c>
      <c r="D2262" s="37" t="s">
        <v>1384</v>
      </c>
      <c r="E2262" s="730">
        <v>41964</v>
      </c>
      <c r="F2262" s="192" t="s">
        <v>446</v>
      </c>
      <c r="G2262" s="468" t="s">
        <v>792</v>
      </c>
      <c r="H2262" s="7" t="s">
        <v>1377</v>
      </c>
      <c r="I2262" s="256">
        <v>1600</v>
      </c>
      <c r="J2262" s="256">
        <v>822.55127932178664</v>
      </c>
      <c r="K2262" s="568">
        <f t="shared" si="266"/>
        <v>1316082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54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265"/>
        <v>11</v>
      </c>
      <c r="C2263" s="37">
        <f t="shared" si="267"/>
        <v>41967</v>
      </c>
      <c r="D2263" s="37" t="s">
        <v>1384</v>
      </c>
      <c r="E2263" s="730">
        <v>41967</v>
      </c>
      <c r="F2263" s="192" t="s">
        <v>567</v>
      </c>
      <c r="G2263" s="468" t="s">
        <v>793</v>
      </c>
      <c r="H2263" s="7" t="s">
        <v>1377</v>
      </c>
      <c r="I2263" s="256">
        <v>511</v>
      </c>
      <c r="J2263" s="256">
        <v>7978.7474094213294</v>
      </c>
      <c r="K2263" s="568">
        <f t="shared" si="266"/>
        <v>4077140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54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265"/>
        <v>11</v>
      </c>
      <c r="C2264" s="37">
        <f t="shared" si="267"/>
        <v>41968</v>
      </c>
      <c r="D2264" s="37" t="s">
        <v>1384</v>
      </c>
      <c r="E2264" s="730">
        <v>41968</v>
      </c>
      <c r="F2264" s="192" t="s">
        <v>794</v>
      </c>
      <c r="G2264" s="468" t="s">
        <v>795</v>
      </c>
      <c r="H2264" s="7" t="s">
        <v>1377</v>
      </c>
      <c r="I2264" s="256">
        <v>3160</v>
      </c>
      <c r="J2264" s="256">
        <v>8143.2576652856869</v>
      </c>
      <c r="K2264" s="568">
        <f t="shared" si="266"/>
        <v>25732694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54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265"/>
        <v>11</v>
      </c>
      <c r="C2265" s="37">
        <f t="shared" si="267"/>
        <v>41968</v>
      </c>
      <c r="D2265" s="37" t="s">
        <v>1384</v>
      </c>
      <c r="E2265" s="730">
        <v>41968</v>
      </c>
      <c r="F2265" s="192" t="s">
        <v>723</v>
      </c>
      <c r="G2265" s="468" t="s">
        <v>796</v>
      </c>
      <c r="H2265" s="7" t="s">
        <v>1377</v>
      </c>
      <c r="I2265" s="256">
        <v>33</v>
      </c>
      <c r="J2265" s="256">
        <v>19576.720447858519</v>
      </c>
      <c r="K2265" s="568">
        <f t="shared" si="266"/>
        <v>646032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54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265"/>
        <v>11</v>
      </c>
      <c r="C2266" s="37">
        <f t="shared" si="267"/>
        <v>41968</v>
      </c>
      <c r="D2266" s="37" t="s">
        <v>1384</v>
      </c>
      <c r="E2266" s="730">
        <v>41968</v>
      </c>
      <c r="F2266" s="192" t="s">
        <v>772</v>
      </c>
      <c r="G2266" s="468" t="s">
        <v>796</v>
      </c>
      <c r="H2266" s="7" t="s">
        <v>1377</v>
      </c>
      <c r="I2266" s="256">
        <v>56</v>
      </c>
      <c r="J2266" s="256">
        <v>19000.93455233327</v>
      </c>
      <c r="K2266" s="568">
        <f t="shared" si="266"/>
        <v>1064052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54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265"/>
        <v>11</v>
      </c>
      <c r="C2267" s="37">
        <f t="shared" si="267"/>
        <v>41968</v>
      </c>
      <c r="D2267" s="37" t="s">
        <v>1384</v>
      </c>
      <c r="E2267" s="730">
        <v>41968</v>
      </c>
      <c r="F2267" s="192" t="s">
        <v>747</v>
      </c>
      <c r="G2267" s="468" t="s">
        <v>796</v>
      </c>
      <c r="H2267" s="7" t="s">
        <v>1377</v>
      </c>
      <c r="I2267" s="256">
        <v>178</v>
      </c>
      <c r="J2267" s="256">
        <v>1233.8269189826799</v>
      </c>
      <c r="K2267" s="568">
        <f t="shared" si="266"/>
        <v>219621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54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265"/>
        <v>11</v>
      </c>
      <c r="C2268" s="37">
        <f t="shared" si="267"/>
        <v>41970</v>
      </c>
      <c r="D2268" s="37" t="s">
        <v>1384</v>
      </c>
      <c r="E2268" s="730">
        <v>41970</v>
      </c>
      <c r="F2268" s="192" t="s">
        <v>797</v>
      </c>
      <c r="G2268" s="468" t="s">
        <v>798</v>
      </c>
      <c r="H2268" s="7" t="s">
        <v>1377</v>
      </c>
      <c r="I2268" s="256">
        <v>100</v>
      </c>
      <c r="J2268" s="256">
        <v>14476.902516063443</v>
      </c>
      <c r="K2268" s="568">
        <f t="shared" si="266"/>
        <v>1447690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54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265"/>
        <v>11</v>
      </c>
      <c r="C2269" s="37">
        <f t="shared" si="267"/>
        <v>41970</v>
      </c>
      <c r="D2269" s="37" t="s">
        <v>1384</v>
      </c>
      <c r="E2269" s="730">
        <v>41970</v>
      </c>
      <c r="F2269" s="192" t="s">
        <v>509</v>
      </c>
      <c r="G2269" s="468" t="s">
        <v>800</v>
      </c>
      <c r="H2269" s="7" t="s">
        <v>1377</v>
      </c>
      <c r="I2269" s="256">
        <v>333</v>
      </c>
      <c r="J2269" s="256">
        <v>7731.9820256247931</v>
      </c>
      <c r="K2269" s="568">
        <f t="shared" si="266"/>
        <v>2574750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54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265"/>
        <v>11</v>
      </c>
      <c r="C2270" s="37">
        <f t="shared" si="267"/>
        <v>41970</v>
      </c>
      <c r="D2270" s="37" t="s">
        <v>1384</v>
      </c>
      <c r="E2270" s="730">
        <v>41970</v>
      </c>
      <c r="F2270" s="192" t="s">
        <v>488</v>
      </c>
      <c r="G2270" s="468" t="s">
        <v>800</v>
      </c>
      <c r="H2270" s="7" t="s">
        <v>1377</v>
      </c>
      <c r="I2270" s="256">
        <v>219</v>
      </c>
      <c r="J2270" s="256">
        <v>7649.7268976926152</v>
      </c>
      <c r="K2270" s="568">
        <f t="shared" si="266"/>
        <v>1675290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54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265"/>
        <v>11</v>
      </c>
      <c r="C2271" s="37">
        <f t="shared" si="267"/>
        <v>41970</v>
      </c>
      <c r="D2271" s="37" t="s">
        <v>1384</v>
      </c>
      <c r="E2271" s="730">
        <v>41970</v>
      </c>
      <c r="F2271" s="189" t="s">
        <v>487</v>
      </c>
      <c r="G2271" s="40" t="s">
        <v>800</v>
      </c>
      <c r="H2271" s="7" t="s">
        <v>1377</v>
      </c>
      <c r="I2271" s="256">
        <v>112</v>
      </c>
      <c r="J2271" s="256">
        <v>7320.7063859639002</v>
      </c>
      <c r="K2271" s="568">
        <f t="shared" si="266"/>
        <v>819919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54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265"/>
        <v>11</v>
      </c>
      <c r="C2272" s="37">
        <f t="shared" si="267"/>
        <v>41970</v>
      </c>
      <c r="D2272" s="37" t="s">
        <v>1384</v>
      </c>
      <c r="E2272" s="730">
        <v>41970</v>
      </c>
      <c r="F2272" s="189" t="s">
        <v>631</v>
      </c>
      <c r="G2272" s="40" t="s">
        <v>801</v>
      </c>
      <c r="H2272" s="7" t="s">
        <v>1377</v>
      </c>
      <c r="I2272" s="256">
        <v>110</v>
      </c>
      <c r="J2272" s="256">
        <v>3619.2256290158607</v>
      </c>
      <c r="K2272" s="568">
        <f t="shared" si="266"/>
        <v>398115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54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265"/>
        <v>11</v>
      </c>
      <c r="C2273" s="37">
        <f t="shared" si="267"/>
        <v>41970</v>
      </c>
      <c r="D2273" s="37" t="s">
        <v>1384</v>
      </c>
      <c r="E2273" s="730">
        <v>41970</v>
      </c>
      <c r="F2273" s="189" t="s">
        <v>633</v>
      </c>
      <c r="G2273" s="40" t="s">
        <v>801</v>
      </c>
      <c r="H2273" s="7" t="s">
        <v>1377</v>
      </c>
      <c r="I2273" s="256">
        <v>260</v>
      </c>
      <c r="J2273" s="256">
        <v>6333.6448507777568</v>
      </c>
      <c r="K2273" s="568">
        <f t="shared" si="266"/>
        <v>1646748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54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265"/>
        <v>11</v>
      </c>
      <c r="C2274" s="37">
        <f t="shared" si="267"/>
        <v>41970</v>
      </c>
      <c r="D2274" s="37" t="s">
        <v>1384</v>
      </c>
      <c r="E2274" s="730">
        <v>41970</v>
      </c>
      <c r="F2274" s="189" t="s">
        <v>632</v>
      </c>
      <c r="G2274" s="40" t="s">
        <v>801</v>
      </c>
      <c r="H2274" s="7" t="s">
        <v>1377</v>
      </c>
      <c r="I2274" s="256">
        <v>450</v>
      </c>
      <c r="J2274" s="256">
        <v>3865.9910128123965</v>
      </c>
      <c r="K2274" s="568">
        <f t="shared" si="266"/>
        <v>1739696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854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265"/>
        <v>11</v>
      </c>
      <c r="C2275" s="37">
        <f t="shared" si="267"/>
        <v>41972</v>
      </c>
      <c r="D2275" s="37" t="s">
        <v>1384</v>
      </c>
      <c r="E2275" s="730">
        <v>41972</v>
      </c>
      <c r="F2275" s="189" t="s">
        <v>671</v>
      </c>
      <c r="G2275" s="40" t="s">
        <v>802</v>
      </c>
      <c r="H2275" s="7" t="s">
        <v>1377</v>
      </c>
      <c r="I2275" s="256">
        <v>1000</v>
      </c>
      <c r="J2275" s="256">
        <v>7402.9615138960789</v>
      </c>
      <c r="K2275" s="568">
        <f t="shared" si="266"/>
        <v>7402962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854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265"/>
        <v>11</v>
      </c>
      <c r="C2276" s="37">
        <f t="shared" si="267"/>
        <v>41973</v>
      </c>
      <c r="D2276" s="37" t="s">
        <v>1384</v>
      </c>
      <c r="E2276" s="730">
        <v>41973</v>
      </c>
      <c r="F2276" s="189" t="s">
        <v>671</v>
      </c>
      <c r="G2276" s="40" t="s">
        <v>803</v>
      </c>
      <c r="H2276" s="7" t="s">
        <v>1377</v>
      </c>
      <c r="I2276" s="256">
        <v>987</v>
      </c>
      <c r="J2276" s="256">
        <v>7402.9615138960789</v>
      </c>
      <c r="K2276" s="568">
        <f t="shared" si="266"/>
        <v>7306723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854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265"/>
        <v>11</v>
      </c>
      <c r="C2277" s="37">
        <f t="shared" si="267"/>
        <v>41973</v>
      </c>
      <c r="D2277" s="37" t="s">
        <v>1384</v>
      </c>
      <c r="E2277" s="730">
        <v>41973</v>
      </c>
      <c r="F2277" s="189" t="s">
        <v>671</v>
      </c>
      <c r="G2277" s="40" t="s">
        <v>803</v>
      </c>
      <c r="H2277" s="7" t="s">
        <v>1377</v>
      </c>
      <c r="I2277" s="256">
        <v>226</v>
      </c>
      <c r="J2277" s="256">
        <v>7402.9615138960789</v>
      </c>
      <c r="K2277" s="568">
        <f t="shared" si="266"/>
        <v>1673069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854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265"/>
        <v>11</v>
      </c>
      <c r="C2278" s="37">
        <f t="shared" si="267"/>
        <v>41973</v>
      </c>
      <c r="D2278" s="37" t="s">
        <v>1384</v>
      </c>
      <c r="E2278" s="730">
        <v>41973</v>
      </c>
      <c r="F2278" s="189" t="s">
        <v>776</v>
      </c>
      <c r="G2278" s="40" t="s">
        <v>804</v>
      </c>
      <c r="H2278" s="7" t="s">
        <v>1377</v>
      </c>
      <c r="I2278" s="256">
        <v>1980</v>
      </c>
      <c r="J2278" s="256">
        <v>7402.9615138960789</v>
      </c>
      <c r="K2278" s="568">
        <f t="shared" si="266"/>
        <v>14657864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854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265"/>
        <v>12</v>
      </c>
      <c r="C2279" s="37">
        <f t="shared" si="267"/>
        <v>41975</v>
      </c>
      <c r="D2279" s="37" t="s">
        <v>1384</v>
      </c>
      <c r="E2279" s="730">
        <v>41975</v>
      </c>
      <c r="F2279" s="189" t="s">
        <v>742</v>
      </c>
      <c r="G2279" s="40" t="s">
        <v>805</v>
      </c>
      <c r="H2279" s="7" t="s">
        <v>1377</v>
      </c>
      <c r="I2279" s="256">
        <v>1059</v>
      </c>
      <c r="J2279" s="256">
        <v>5593.3486993881488</v>
      </c>
      <c r="K2279" s="568">
        <f t="shared" si="266"/>
        <v>5923356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854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265"/>
        <v>12</v>
      </c>
      <c r="C2280" s="37">
        <f t="shared" si="267"/>
        <v>41979</v>
      </c>
      <c r="D2280" s="37" t="s">
        <v>1384</v>
      </c>
      <c r="E2280" s="728">
        <v>41979</v>
      </c>
      <c r="F2280" s="189" t="s">
        <v>806</v>
      </c>
      <c r="G2280" s="40" t="s">
        <v>807</v>
      </c>
      <c r="H2280" s="7" t="s">
        <v>1377</v>
      </c>
      <c r="I2280" s="256">
        <v>106</v>
      </c>
      <c r="J2280" s="256">
        <v>7238.4512580317214</v>
      </c>
      <c r="K2280" s="568">
        <f t="shared" si="266"/>
        <v>767276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54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265"/>
        <v>12</v>
      </c>
      <c r="C2281" s="37">
        <f t="shared" si="267"/>
        <v>41979</v>
      </c>
      <c r="D2281" s="37" t="s">
        <v>1384</v>
      </c>
      <c r="E2281" s="728">
        <v>41979</v>
      </c>
      <c r="F2281" s="189" t="s">
        <v>755</v>
      </c>
      <c r="G2281" s="40" t="s">
        <v>807</v>
      </c>
      <c r="H2281" s="7" t="s">
        <v>1377</v>
      </c>
      <c r="I2281" s="256">
        <v>493</v>
      </c>
      <c r="J2281" s="256">
        <v>5264.3281876594338</v>
      </c>
      <c r="K2281" s="568">
        <f t="shared" si="266"/>
        <v>2595314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54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265"/>
        <v>12</v>
      </c>
      <c r="C2282" s="37">
        <f t="shared" si="267"/>
        <v>41979</v>
      </c>
      <c r="D2282" s="37" t="s">
        <v>1384</v>
      </c>
      <c r="E2282" s="728">
        <v>41979</v>
      </c>
      <c r="F2282" s="189" t="s">
        <v>808</v>
      </c>
      <c r="G2282" s="40" t="s">
        <v>807</v>
      </c>
      <c r="H2282" s="7" t="s">
        <v>1377</v>
      </c>
      <c r="I2282" s="256">
        <v>512</v>
      </c>
      <c r="J2282" s="256">
        <v>3372.4602452193249</v>
      </c>
      <c r="K2282" s="568">
        <f t="shared" si="266"/>
        <v>1726700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54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265"/>
        <v>12</v>
      </c>
      <c r="C2283" s="37">
        <f t="shared" si="267"/>
        <v>41979</v>
      </c>
      <c r="D2283" s="37" t="s">
        <v>1384</v>
      </c>
      <c r="E2283" s="728">
        <v>41979</v>
      </c>
      <c r="F2283" s="189" t="s">
        <v>691</v>
      </c>
      <c r="G2283" s="40" t="s">
        <v>807</v>
      </c>
      <c r="H2283" s="7" t="s">
        <v>1377</v>
      </c>
      <c r="I2283" s="256">
        <v>208</v>
      </c>
      <c r="J2283" s="256">
        <v>6004.6243390490417</v>
      </c>
      <c r="K2283" s="568">
        <f t="shared" si="266"/>
        <v>1248962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54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265"/>
        <v>12</v>
      </c>
      <c r="C2284" s="37">
        <f t="shared" si="267"/>
        <v>41979</v>
      </c>
      <c r="D2284" s="37" t="s">
        <v>1384</v>
      </c>
      <c r="E2284" s="728">
        <v>41979</v>
      </c>
      <c r="F2284" s="40" t="s">
        <v>640</v>
      </c>
      <c r="G2284" s="40" t="s">
        <v>807</v>
      </c>
      <c r="H2284" s="7" t="s">
        <v>1377</v>
      </c>
      <c r="I2284" s="256">
        <v>1016</v>
      </c>
      <c r="J2284" s="256">
        <v>4195.0115245411116</v>
      </c>
      <c r="K2284" s="568">
        <f t="shared" si="266"/>
        <v>4262132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54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265"/>
        <v>12</v>
      </c>
      <c r="C2285" s="37">
        <f t="shared" si="267"/>
        <v>41981</v>
      </c>
      <c r="D2285" s="37" t="s">
        <v>1384</v>
      </c>
      <c r="E2285" s="728">
        <v>41981</v>
      </c>
      <c r="F2285" s="189" t="s">
        <v>516</v>
      </c>
      <c r="G2285" s="40" t="s">
        <v>809</v>
      </c>
      <c r="H2285" s="7" t="s">
        <v>1377</v>
      </c>
      <c r="I2285" s="256">
        <v>1015</v>
      </c>
      <c r="J2285" s="256">
        <v>9459.3397122005445</v>
      </c>
      <c r="K2285" s="568">
        <f t="shared" si="266"/>
        <v>9601230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54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265"/>
        <v>12</v>
      </c>
      <c r="C2286" s="37">
        <f t="shared" si="267"/>
        <v>41982</v>
      </c>
      <c r="D2286" s="37" t="s">
        <v>1384</v>
      </c>
      <c r="E2286" s="728">
        <v>41982</v>
      </c>
      <c r="F2286" s="189" t="s">
        <v>437</v>
      </c>
      <c r="G2286" s="40" t="s">
        <v>810</v>
      </c>
      <c r="H2286" s="7" t="s">
        <v>1377</v>
      </c>
      <c r="I2286" s="256">
        <v>440</v>
      </c>
      <c r="J2286" s="256">
        <v>7814.2371535569719</v>
      </c>
      <c r="K2286" s="568">
        <f t="shared" si="266"/>
        <v>3438264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54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265"/>
        <v>12</v>
      </c>
      <c r="C2287" s="37">
        <f t="shared" si="267"/>
        <v>41982</v>
      </c>
      <c r="D2287" s="37" t="s">
        <v>1384</v>
      </c>
      <c r="E2287" s="728">
        <v>41982</v>
      </c>
      <c r="F2287" s="40" t="s">
        <v>811</v>
      </c>
      <c r="G2287" s="40" t="s">
        <v>810</v>
      </c>
      <c r="H2287" s="7" t="s">
        <v>1377</v>
      </c>
      <c r="I2287" s="256">
        <v>403</v>
      </c>
      <c r="J2287" s="256">
        <v>4770.7974200663621</v>
      </c>
      <c r="K2287" s="568">
        <f t="shared" si="266"/>
        <v>1922631</v>
      </c>
      <c r="L2287" s="194" t="s">
        <v>175</v>
      </c>
      <c r="M2287" s="194" t="s">
        <v>169</v>
      </c>
      <c r="N2287" s="52" t="str">
        <f>IF(AND('331-CT'!$E$7=TH!H2287,OR(L2287="331",M2287="331")),"331",IF(AND(OR(L2287="131",M2287="131"),H2287='131-CT'!$E$7),"131",""))</f>
        <v/>
      </c>
      <c r="O2287" s="89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54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265"/>
        <v>12</v>
      </c>
      <c r="C2288" s="37">
        <f t="shared" si="267"/>
        <v>41982</v>
      </c>
      <c r="D2288" s="37" t="s">
        <v>1384</v>
      </c>
      <c r="E2288" s="728">
        <v>41982</v>
      </c>
      <c r="F2288" s="40" t="s">
        <v>437</v>
      </c>
      <c r="G2288" s="40" t="s">
        <v>812</v>
      </c>
      <c r="H2288" s="7" t="s">
        <v>1377</v>
      </c>
      <c r="I2288" s="256">
        <v>440</v>
      </c>
      <c r="J2288" s="256">
        <v>7814.2371535569719</v>
      </c>
      <c r="K2288" s="568">
        <f t="shared" si="266"/>
        <v>3438264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54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265"/>
        <v>12</v>
      </c>
      <c r="C2289" s="37">
        <f t="shared" si="267"/>
        <v>41985</v>
      </c>
      <c r="D2289" s="37" t="s">
        <v>1384</v>
      </c>
      <c r="E2289" s="728">
        <v>41985</v>
      </c>
      <c r="F2289" s="40" t="s">
        <v>484</v>
      </c>
      <c r="G2289" s="40" t="s">
        <v>813</v>
      </c>
      <c r="H2289" s="7" t="s">
        <v>1377</v>
      </c>
      <c r="I2289" s="256">
        <v>411</v>
      </c>
      <c r="J2289" s="256">
        <v>11022.18714291194</v>
      </c>
      <c r="K2289" s="568">
        <f t="shared" si="266"/>
        <v>4530119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54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265"/>
        <v>12</v>
      </c>
      <c r="C2290" s="37">
        <f t="shared" si="267"/>
        <v>41985</v>
      </c>
      <c r="D2290" s="37" t="s">
        <v>1384</v>
      </c>
      <c r="E2290" s="728">
        <v>41985</v>
      </c>
      <c r="F2290" s="189" t="s">
        <v>814</v>
      </c>
      <c r="G2290" s="40" t="s">
        <v>815</v>
      </c>
      <c r="H2290" s="7" t="s">
        <v>1377</v>
      </c>
      <c r="I2290" s="256">
        <v>89</v>
      </c>
      <c r="J2290" s="256">
        <v>20810.547366841198</v>
      </c>
      <c r="K2290" s="568">
        <f t="shared" si="266"/>
        <v>1852139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54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265"/>
        <v>12</v>
      </c>
      <c r="C2291" s="37">
        <f t="shared" si="267"/>
        <v>41985</v>
      </c>
      <c r="D2291" s="37" t="s">
        <v>1384</v>
      </c>
      <c r="E2291" s="728">
        <v>41985</v>
      </c>
      <c r="F2291" s="40" t="s">
        <v>816</v>
      </c>
      <c r="G2291" s="40" t="s">
        <v>817</v>
      </c>
      <c r="H2291" s="7" t="s">
        <v>1377</v>
      </c>
      <c r="I2291" s="256">
        <v>350</v>
      </c>
      <c r="J2291" s="256">
        <v>59634.967750829528</v>
      </c>
      <c r="K2291" s="568">
        <f t="shared" si="266"/>
        <v>20872239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54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265"/>
        <v>12</v>
      </c>
      <c r="C2292" s="37">
        <f t="shared" si="267"/>
        <v>41986</v>
      </c>
      <c r="D2292" s="37" t="s">
        <v>1384</v>
      </c>
      <c r="E2292" s="781">
        <v>41986</v>
      </c>
      <c r="F2292" s="192" t="s">
        <v>818</v>
      </c>
      <c r="G2292" s="468" t="s">
        <v>819</v>
      </c>
      <c r="H2292" s="7" t="s">
        <v>1377</v>
      </c>
      <c r="I2292" s="256">
        <v>223</v>
      </c>
      <c r="J2292" s="256">
        <v>7567.4717697604365</v>
      </c>
      <c r="K2292" s="568">
        <f t="shared" si="266"/>
        <v>1687546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54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265"/>
        <v>12</v>
      </c>
      <c r="C2293" s="37">
        <f t="shared" si="267"/>
        <v>41986</v>
      </c>
      <c r="D2293" s="37" t="s">
        <v>1384</v>
      </c>
      <c r="E2293" s="781">
        <v>41986</v>
      </c>
      <c r="F2293" s="192" t="s">
        <v>820</v>
      </c>
      <c r="G2293" s="468" t="s">
        <v>821</v>
      </c>
      <c r="H2293" s="7" t="s">
        <v>1377</v>
      </c>
      <c r="I2293" s="256">
        <v>200</v>
      </c>
      <c r="J2293" s="256">
        <v>61280.0703094731</v>
      </c>
      <c r="K2293" s="568">
        <f t="shared" si="266"/>
        <v>12256014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54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265"/>
        <v>12</v>
      </c>
      <c r="C2294" s="37">
        <f t="shared" si="267"/>
        <v>41986</v>
      </c>
      <c r="D2294" s="37" t="s">
        <v>1384</v>
      </c>
      <c r="E2294" s="781">
        <v>41986</v>
      </c>
      <c r="F2294" s="192" t="s">
        <v>704</v>
      </c>
      <c r="G2294" s="468" t="s">
        <v>822</v>
      </c>
      <c r="H2294" s="7" t="s">
        <v>1377</v>
      </c>
      <c r="I2294" s="256">
        <v>3160</v>
      </c>
      <c r="J2294" s="256">
        <v>7567.4717697604365</v>
      </c>
      <c r="K2294" s="568">
        <f t="shared" si="266"/>
        <v>23913211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54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265"/>
        <v>12</v>
      </c>
      <c r="C2295" s="37">
        <f t="shared" si="267"/>
        <v>41986</v>
      </c>
      <c r="D2295" s="37" t="s">
        <v>1384</v>
      </c>
      <c r="E2295" s="781">
        <v>41986</v>
      </c>
      <c r="F2295" s="192" t="s">
        <v>709</v>
      </c>
      <c r="G2295" s="468" t="s">
        <v>822</v>
      </c>
      <c r="H2295" s="7" t="s">
        <v>1377</v>
      </c>
      <c r="I2295" s="256">
        <v>301</v>
      </c>
      <c r="J2295" s="256">
        <v>9294.8294563361869</v>
      </c>
      <c r="K2295" s="568">
        <f t="shared" si="266"/>
        <v>2797744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54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265"/>
        <v>12</v>
      </c>
      <c r="C2296" s="37">
        <f t="shared" si="267"/>
        <v>41986</v>
      </c>
      <c r="D2296" s="37" t="s">
        <v>1384</v>
      </c>
      <c r="E2296" s="781">
        <v>41986</v>
      </c>
      <c r="F2296" s="192" t="s">
        <v>713</v>
      </c>
      <c r="G2296" s="468" t="s">
        <v>823</v>
      </c>
      <c r="H2296" s="7" t="s">
        <v>1377</v>
      </c>
      <c r="I2296" s="256">
        <v>20</v>
      </c>
      <c r="J2296" s="256">
        <v>9952.8704797936171</v>
      </c>
      <c r="K2296" s="568">
        <f t="shared" si="266"/>
        <v>199057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54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265"/>
        <v>12</v>
      </c>
      <c r="C2297" s="37">
        <f t="shared" si="267"/>
        <v>41986</v>
      </c>
      <c r="D2297" s="37" t="s">
        <v>1384</v>
      </c>
      <c r="E2297" s="781">
        <v>41986</v>
      </c>
      <c r="F2297" s="192" t="s">
        <v>824</v>
      </c>
      <c r="G2297" s="468" t="s">
        <v>823</v>
      </c>
      <c r="H2297" s="7" t="s">
        <v>1377</v>
      </c>
      <c r="I2297" s="256">
        <v>47</v>
      </c>
      <c r="J2297" s="256">
        <v>10035.125607725797</v>
      </c>
      <c r="K2297" s="568">
        <f t="shared" si="266"/>
        <v>471651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54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265"/>
        <v>12</v>
      </c>
      <c r="C2298" s="37">
        <f t="shared" si="267"/>
        <v>41986</v>
      </c>
      <c r="D2298" s="37" t="s">
        <v>1384</v>
      </c>
      <c r="E2298" s="781">
        <v>41986</v>
      </c>
      <c r="F2298" s="192" t="s">
        <v>825</v>
      </c>
      <c r="G2298" s="468" t="s">
        <v>823</v>
      </c>
      <c r="H2298" s="7" t="s">
        <v>1377</v>
      </c>
      <c r="I2298" s="256">
        <v>902</v>
      </c>
      <c r="J2298" s="256">
        <v>15052.688411588695</v>
      </c>
      <c r="K2298" s="568">
        <f t="shared" si="266"/>
        <v>13577525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54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ref="B2299:B2359" si="268">IF(C2299&lt;&gt;"",MONTH(C2299),"")</f>
        <v>12</v>
      </c>
      <c r="C2299" s="37">
        <f t="shared" si="267"/>
        <v>41988</v>
      </c>
      <c r="D2299" s="37" t="s">
        <v>1384</v>
      </c>
      <c r="E2299" s="781">
        <v>41988</v>
      </c>
      <c r="F2299" s="192" t="s">
        <v>826</v>
      </c>
      <c r="G2299" s="468" t="s">
        <v>827</v>
      </c>
      <c r="H2299" s="7" t="s">
        <v>1377</v>
      </c>
      <c r="I2299" s="256">
        <v>352</v>
      </c>
      <c r="J2299" s="256">
        <v>10775.421759115405</v>
      </c>
      <c r="K2299" s="568">
        <f t="shared" ref="K2299:K2353" si="269">ROUND(I2299*J2299,0)</f>
        <v>3792948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54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268"/>
        <v>12</v>
      </c>
      <c r="C2300" s="37">
        <f t="shared" ref="C2300:C2353" si="270">E2300</f>
        <v>41988</v>
      </c>
      <c r="D2300" s="37" t="s">
        <v>1384</v>
      </c>
      <c r="E2300" s="781">
        <v>41988</v>
      </c>
      <c r="F2300" s="192" t="s">
        <v>828</v>
      </c>
      <c r="G2300" s="468" t="s">
        <v>827</v>
      </c>
      <c r="H2300" s="7" t="s">
        <v>1377</v>
      </c>
      <c r="I2300" s="256">
        <v>52</v>
      </c>
      <c r="J2300" s="256">
        <v>13983.371748470372</v>
      </c>
      <c r="K2300" s="568">
        <f t="shared" si="269"/>
        <v>727135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54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268"/>
        <v>12</v>
      </c>
      <c r="C2301" s="37">
        <f t="shared" si="270"/>
        <v>41988</v>
      </c>
      <c r="D2301" s="37" t="s">
        <v>1384</v>
      </c>
      <c r="E2301" s="781">
        <v>41988</v>
      </c>
      <c r="F2301" s="192" t="s">
        <v>829</v>
      </c>
      <c r="G2301" s="468" t="s">
        <v>827</v>
      </c>
      <c r="H2301" s="7" t="s">
        <v>1377</v>
      </c>
      <c r="I2301" s="256">
        <v>52</v>
      </c>
      <c r="J2301" s="256">
        <v>16204.260202639196</v>
      </c>
      <c r="K2301" s="568">
        <f t="shared" si="269"/>
        <v>842622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54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268"/>
        <v>12</v>
      </c>
      <c r="C2302" s="37">
        <f t="shared" si="270"/>
        <v>41991</v>
      </c>
      <c r="D2302" s="37" t="s">
        <v>1384</v>
      </c>
      <c r="E2302" s="781">
        <v>41991</v>
      </c>
      <c r="F2302" s="192" t="s">
        <v>437</v>
      </c>
      <c r="G2302" s="468" t="s">
        <v>830</v>
      </c>
      <c r="H2302" s="7" t="s">
        <v>1377</v>
      </c>
      <c r="I2302" s="256">
        <v>522</v>
      </c>
      <c r="J2302" s="256">
        <v>7814.2371535569719</v>
      </c>
      <c r="K2302" s="568">
        <f t="shared" si="269"/>
        <v>4079032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54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268"/>
        <v>12</v>
      </c>
      <c r="C2303" s="37">
        <f t="shared" si="270"/>
        <v>41992</v>
      </c>
      <c r="D2303" s="37" t="s">
        <v>1384</v>
      </c>
      <c r="E2303" s="781">
        <v>41992</v>
      </c>
      <c r="F2303" s="192" t="s">
        <v>831</v>
      </c>
      <c r="G2303" s="468" t="s">
        <v>832</v>
      </c>
      <c r="H2303" s="7" t="s">
        <v>1377</v>
      </c>
      <c r="I2303" s="256">
        <v>2500</v>
      </c>
      <c r="J2303" s="256">
        <v>2796.6743496940744</v>
      </c>
      <c r="K2303" s="568">
        <f t="shared" si="269"/>
        <v>6991686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54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268"/>
        <v>12</v>
      </c>
      <c r="C2304" s="37">
        <f t="shared" si="270"/>
        <v>41992</v>
      </c>
      <c r="D2304" s="37" t="s">
        <v>1384</v>
      </c>
      <c r="E2304" s="781">
        <v>41992</v>
      </c>
      <c r="F2304" s="192" t="s">
        <v>834</v>
      </c>
      <c r="G2304" s="468" t="s">
        <v>832</v>
      </c>
      <c r="H2304" s="7" t="s">
        <v>1377</v>
      </c>
      <c r="I2304" s="256">
        <v>2200</v>
      </c>
      <c r="J2304" s="256">
        <v>5017.5628038628984</v>
      </c>
      <c r="K2304" s="568">
        <f t="shared" si="269"/>
        <v>11038638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54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268"/>
        <v>12</v>
      </c>
      <c r="C2305" s="37">
        <f t="shared" si="270"/>
        <v>41993</v>
      </c>
      <c r="D2305" s="37" t="s">
        <v>1384</v>
      </c>
      <c r="E2305" s="781">
        <v>41993</v>
      </c>
      <c r="F2305" s="192" t="s">
        <v>835</v>
      </c>
      <c r="G2305" s="468" t="s">
        <v>836</v>
      </c>
      <c r="H2305" s="7" t="s">
        <v>1377</v>
      </c>
      <c r="I2305" s="256">
        <v>500</v>
      </c>
      <c r="J2305" s="256">
        <v>18178.383273011485</v>
      </c>
      <c r="K2305" s="568">
        <f t="shared" si="269"/>
        <v>9089192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54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268"/>
        <v>12</v>
      </c>
      <c r="C2306" s="37">
        <f t="shared" si="270"/>
        <v>41993</v>
      </c>
      <c r="D2306" s="37" t="s">
        <v>1384</v>
      </c>
      <c r="E2306" s="781">
        <v>41993</v>
      </c>
      <c r="F2306" s="192" t="s">
        <v>837</v>
      </c>
      <c r="G2306" s="468" t="s">
        <v>838</v>
      </c>
      <c r="H2306" s="7" t="s">
        <v>1377</v>
      </c>
      <c r="I2306" s="256">
        <v>213</v>
      </c>
      <c r="J2306" s="256">
        <v>10528.656375318868</v>
      </c>
      <c r="K2306" s="568">
        <f t="shared" si="269"/>
        <v>2242604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54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268"/>
        <v>12</v>
      </c>
      <c r="C2307" s="37">
        <f t="shared" si="270"/>
        <v>41995</v>
      </c>
      <c r="D2307" s="37" t="s">
        <v>1384</v>
      </c>
      <c r="E2307" s="781">
        <v>41995</v>
      </c>
      <c r="F2307" s="192" t="s">
        <v>1211</v>
      </c>
      <c r="G2307" s="468" t="s">
        <v>840</v>
      </c>
      <c r="H2307" s="7" t="s">
        <v>1377</v>
      </c>
      <c r="I2307" s="256">
        <v>819</v>
      </c>
      <c r="J2307" s="256">
        <v>9377.0845842683666</v>
      </c>
      <c r="K2307" s="568">
        <f t="shared" si="269"/>
        <v>7679832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54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268"/>
        <v>12</v>
      </c>
      <c r="C2308" s="37">
        <f t="shared" si="270"/>
        <v>41995</v>
      </c>
      <c r="D2308" s="37" t="s">
        <v>1384</v>
      </c>
      <c r="E2308" s="781">
        <v>41995</v>
      </c>
      <c r="F2308" s="192" t="s">
        <v>446</v>
      </c>
      <c r="G2308" s="468" t="s">
        <v>840</v>
      </c>
      <c r="H2308" s="7" t="s">
        <v>1377</v>
      </c>
      <c r="I2308" s="256">
        <v>1638</v>
      </c>
      <c r="J2308" s="256">
        <v>822.55127932178664</v>
      </c>
      <c r="K2308" s="568">
        <f t="shared" si="269"/>
        <v>1347339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54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268"/>
        <v>12</v>
      </c>
      <c r="C2309" s="37">
        <f t="shared" si="270"/>
        <v>41997</v>
      </c>
      <c r="D2309" s="37" t="s">
        <v>1384</v>
      </c>
      <c r="E2309" s="781">
        <v>41997</v>
      </c>
      <c r="F2309" s="192" t="s">
        <v>742</v>
      </c>
      <c r="G2309" s="468" t="s">
        <v>841</v>
      </c>
      <c r="H2309" s="7" t="s">
        <v>1377</v>
      </c>
      <c r="I2309" s="256">
        <v>517</v>
      </c>
      <c r="J2309" s="256">
        <v>5593.3486993881488</v>
      </c>
      <c r="K2309" s="568">
        <f t="shared" si="269"/>
        <v>2891761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54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268"/>
        <v>12</v>
      </c>
      <c r="C2310" s="37">
        <f t="shared" si="270"/>
        <v>41997</v>
      </c>
      <c r="D2310" s="37" t="s">
        <v>1384</v>
      </c>
      <c r="E2310" s="781">
        <v>41997</v>
      </c>
      <c r="F2310" s="192" t="s">
        <v>842</v>
      </c>
      <c r="G2310" s="468" t="s">
        <v>843</v>
      </c>
      <c r="H2310" s="7" t="s">
        <v>1377</v>
      </c>
      <c r="I2310" s="256">
        <v>701</v>
      </c>
      <c r="J2310" s="256">
        <v>7978.7474094213294</v>
      </c>
      <c r="K2310" s="568">
        <f t="shared" si="269"/>
        <v>5593102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54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268"/>
        <v>12</v>
      </c>
      <c r="C2311" s="37">
        <f t="shared" si="270"/>
        <v>41997</v>
      </c>
      <c r="D2311" s="37" t="s">
        <v>1384</v>
      </c>
      <c r="E2311" s="781">
        <v>41997</v>
      </c>
      <c r="F2311" s="192" t="s">
        <v>844</v>
      </c>
      <c r="G2311" s="468" t="s">
        <v>843</v>
      </c>
      <c r="H2311" s="7" t="s">
        <v>1377</v>
      </c>
      <c r="I2311" s="256">
        <v>59</v>
      </c>
      <c r="J2311" s="256">
        <v>16533.280714367909</v>
      </c>
      <c r="K2311" s="568">
        <f t="shared" si="269"/>
        <v>975464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54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268"/>
        <v>12</v>
      </c>
      <c r="C2312" s="37">
        <f t="shared" si="270"/>
        <v>41997</v>
      </c>
      <c r="D2312" s="37" t="s">
        <v>1384</v>
      </c>
      <c r="E2312" s="781">
        <v>41997</v>
      </c>
      <c r="F2312" s="192" t="s">
        <v>1206</v>
      </c>
      <c r="G2312" s="468" t="s">
        <v>843</v>
      </c>
      <c r="H2312" s="7" t="s">
        <v>1377</v>
      </c>
      <c r="I2312" s="256">
        <v>1402</v>
      </c>
      <c r="J2312" s="256">
        <v>904.80640725396518</v>
      </c>
      <c r="K2312" s="568">
        <f t="shared" si="269"/>
        <v>1268539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54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268"/>
        <v>12</v>
      </c>
      <c r="C2313" s="37">
        <f t="shared" si="270"/>
        <v>41997</v>
      </c>
      <c r="D2313" s="37" t="s">
        <v>1384</v>
      </c>
      <c r="E2313" s="781">
        <v>41997</v>
      </c>
      <c r="F2313" s="192" t="s">
        <v>1207</v>
      </c>
      <c r="G2313" s="468" t="s">
        <v>843</v>
      </c>
      <c r="H2313" s="7" t="s">
        <v>1377</v>
      </c>
      <c r="I2313" s="256">
        <v>118</v>
      </c>
      <c r="J2313" s="256">
        <v>1974.1230703722877</v>
      </c>
      <c r="K2313" s="568">
        <f t="shared" si="269"/>
        <v>232947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54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268"/>
        <v>12</v>
      </c>
      <c r="C2314" s="37">
        <f t="shared" si="270"/>
        <v>41997</v>
      </c>
      <c r="D2314" s="37" t="s">
        <v>1384</v>
      </c>
      <c r="E2314" s="781">
        <v>41997</v>
      </c>
      <c r="F2314" s="192" t="s">
        <v>845</v>
      </c>
      <c r="G2314" s="468" t="s">
        <v>846</v>
      </c>
      <c r="H2314" s="7" t="s">
        <v>1377</v>
      </c>
      <c r="I2314" s="256">
        <v>42</v>
      </c>
      <c r="J2314" s="256">
        <v>5511.0935714559701</v>
      </c>
      <c r="K2314" s="568">
        <f t="shared" si="269"/>
        <v>231466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54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268"/>
        <v>12</v>
      </c>
      <c r="C2315" s="37">
        <f t="shared" si="270"/>
        <v>41997</v>
      </c>
      <c r="D2315" s="37" t="s">
        <v>1384</v>
      </c>
      <c r="E2315" s="781">
        <v>41997</v>
      </c>
      <c r="F2315" s="192" t="s">
        <v>848</v>
      </c>
      <c r="G2315" s="468" t="s">
        <v>846</v>
      </c>
      <c r="H2315" s="7" t="s">
        <v>1377</v>
      </c>
      <c r="I2315" s="256">
        <v>137</v>
      </c>
      <c r="J2315" s="256">
        <v>6991.685874235186</v>
      </c>
      <c r="K2315" s="568">
        <f t="shared" si="269"/>
        <v>957861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54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268"/>
        <v>12</v>
      </c>
      <c r="C2316" s="37">
        <f t="shared" si="270"/>
        <v>41997</v>
      </c>
      <c r="D2316" s="37" t="s">
        <v>1384</v>
      </c>
      <c r="E2316" s="781">
        <v>41997</v>
      </c>
      <c r="F2316" s="192" t="s">
        <v>849</v>
      </c>
      <c r="G2316" s="468" t="s">
        <v>846</v>
      </c>
      <c r="H2316" s="7" t="s">
        <v>1377</v>
      </c>
      <c r="I2316" s="256">
        <v>44</v>
      </c>
      <c r="J2316" s="256">
        <v>7238.4512580317214</v>
      </c>
      <c r="K2316" s="568">
        <f t="shared" si="269"/>
        <v>318492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54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268"/>
        <v>12</v>
      </c>
      <c r="C2317" s="37">
        <f t="shared" si="270"/>
        <v>41997</v>
      </c>
      <c r="D2317" s="37" t="s">
        <v>1384</v>
      </c>
      <c r="E2317" s="781">
        <v>41997</v>
      </c>
      <c r="F2317" s="192" t="s">
        <v>850</v>
      </c>
      <c r="G2317" s="468" t="s">
        <v>846</v>
      </c>
      <c r="H2317" s="7" t="s">
        <v>1377</v>
      </c>
      <c r="I2317" s="256">
        <v>966</v>
      </c>
      <c r="J2317" s="256">
        <v>7485.2166418282577</v>
      </c>
      <c r="K2317" s="568">
        <f t="shared" si="269"/>
        <v>7230719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54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268"/>
        <v>12</v>
      </c>
      <c r="C2318" s="37">
        <f t="shared" si="270"/>
        <v>41997</v>
      </c>
      <c r="D2318" s="37" t="s">
        <v>1384</v>
      </c>
      <c r="E2318" s="781">
        <v>41997</v>
      </c>
      <c r="F2318" s="192" t="s">
        <v>851</v>
      </c>
      <c r="G2318" s="468" t="s">
        <v>846</v>
      </c>
      <c r="H2318" s="7" t="s">
        <v>1377</v>
      </c>
      <c r="I2318" s="256">
        <v>105</v>
      </c>
      <c r="J2318" s="256">
        <v>9377.0845842683666</v>
      </c>
      <c r="K2318" s="568">
        <f t="shared" si="269"/>
        <v>984594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54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268"/>
        <v>12</v>
      </c>
      <c r="C2319" s="37">
        <f t="shared" si="270"/>
        <v>41997</v>
      </c>
      <c r="D2319" s="37" t="s">
        <v>1384</v>
      </c>
      <c r="E2319" s="781">
        <v>41997</v>
      </c>
      <c r="F2319" s="192" t="s">
        <v>852</v>
      </c>
      <c r="G2319" s="468" t="s">
        <v>846</v>
      </c>
      <c r="H2319" s="7" t="s">
        <v>1377</v>
      </c>
      <c r="I2319" s="256">
        <v>25</v>
      </c>
      <c r="J2319" s="256">
        <v>9541.5948401327241</v>
      </c>
      <c r="K2319" s="568">
        <f t="shared" si="269"/>
        <v>238540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54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268"/>
        <v>12</v>
      </c>
      <c r="C2320" s="37">
        <f t="shared" si="270"/>
        <v>41997</v>
      </c>
      <c r="D2320" s="37" t="s">
        <v>1384</v>
      </c>
      <c r="E2320" s="781">
        <v>41997</v>
      </c>
      <c r="F2320" s="192" t="s">
        <v>853</v>
      </c>
      <c r="G2320" s="468" t="s">
        <v>846</v>
      </c>
      <c r="H2320" s="7" t="s">
        <v>1377</v>
      </c>
      <c r="I2320" s="256">
        <v>104</v>
      </c>
      <c r="J2320" s="256">
        <v>10528.656375318868</v>
      </c>
      <c r="K2320" s="568">
        <f t="shared" si="269"/>
        <v>1094980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54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268"/>
        <v>12</v>
      </c>
      <c r="C2321" s="37">
        <f t="shared" si="270"/>
        <v>41997</v>
      </c>
      <c r="D2321" s="37" t="s">
        <v>1384</v>
      </c>
      <c r="E2321" s="781">
        <v>41997</v>
      </c>
      <c r="F2321" s="192" t="s">
        <v>854</v>
      </c>
      <c r="G2321" s="468" t="s">
        <v>846</v>
      </c>
      <c r="H2321" s="7" t="s">
        <v>1377</v>
      </c>
      <c r="I2321" s="256">
        <v>108</v>
      </c>
      <c r="J2321" s="256">
        <v>10857.676887047583</v>
      </c>
      <c r="K2321" s="568">
        <f t="shared" si="269"/>
        <v>1172629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54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268"/>
        <v>12</v>
      </c>
      <c r="C2322" s="37">
        <f t="shared" si="270"/>
        <v>41997</v>
      </c>
      <c r="D2322" s="37" t="s">
        <v>1384</v>
      </c>
      <c r="E2322" s="781">
        <v>41997</v>
      </c>
      <c r="F2322" s="192" t="s">
        <v>855</v>
      </c>
      <c r="G2322" s="468" t="s">
        <v>846</v>
      </c>
      <c r="H2322" s="7" t="s">
        <v>1377</v>
      </c>
      <c r="I2322" s="256">
        <v>32</v>
      </c>
      <c r="J2322" s="256">
        <v>12502.779445691156</v>
      </c>
      <c r="K2322" s="568">
        <f t="shared" si="269"/>
        <v>400089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54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268"/>
        <v>12</v>
      </c>
      <c r="C2323" s="37">
        <f t="shared" si="270"/>
        <v>41997</v>
      </c>
      <c r="D2323" s="37" t="s">
        <v>1384</v>
      </c>
      <c r="E2323" s="728">
        <v>41997</v>
      </c>
      <c r="F2323" s="40" t="s">
        <v>856</v>
      </c>
      <c r="G2323" s="40" t="s">
        <v>846</v>
      </c>
      <c r="H2323" s="7" t="s">
        <v>1377</v>
      </c>
      <c r="I2323" s="256">
        <v>63</v>
      </c>
      <c r="J2323" s="256">
        <v>13572.096108809477</v>
      </c>
      <c r="K2323" s="568">
        <f t="shared" si="269"/>
        <v>855042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54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268"/>
        <v>12</v>
      </c>
      <c r="C2324" s="37">
        <f t="shared" si="270"/>
        <v>41998</v>
      </c>
      <c r="D2324" s="37" t="s">
        <v>1384</v>
      </c>
      <c r="E2324" s="728">
        <v>41998</v>
      </c>
      <c r="F2324" s="40" t="s">
        <v>437</v>
      </c>
      <c r="G2324" s="40" t="s">
        <v>857</v>
      </c>
      <c r="H2324" s="7" t="s">
        <v>1377</v>
      </c>
      <c r="I2324" s="256">
        <v>500</v>
      </c>
      <c r="J2324" s="256">
        <v>7814.2371535569719</v>
      </c>
      <c r="K2324" s="568">
        <f t="shared" si="269"/>
        <v>3907119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54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268"/>
        <v>12</v>
      </c>
      <c r="C2325" s="37">
        <f t="shared" si="270"/>
        <v>41998</v>
      </c>
      <c r="D2325" s="37" t="s">
        <v>1384</v>
      </c>
      <c r="E2325" s="728">
        <v>41998</v>
      </c>
      <c r="F2325" s="40" t="s">
        <v>460</v>
      </c>
      <c r="G2325" s="40" t="s">
        <v>858</v>
      </c>
      <c r="H2325" s="7" t="s">
        <v>1377</v>
      </c>
      <c r="I2325" s="256">
        <v>1000</v>
      </c>
      <c r="J2325" s="256">
        <v>7567.4717697604365</v>
      </c>
      <c r="K2325" s="568">
        <f t="shared" si="269"/>
        <v>7567472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54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268"/>
        <v>12</v>
      </c>
      <c r="C2326" s="37">
        <f t="shared" si="270"/>
        <v>41998</v>
      </c>
      <c r="D2326" s="37" t="s">
        <v>1384</v>
      </c>
      <c r="E2326" s="728">
        <v>41998</v>
      </c>
      <c r="F2326" s="40" t="s">
        <v>859</v>
      </c>
      <c r="G2326" s="40" t="s">
        <v>860</v>
      </c>
      <c r="H2326" s="7" t="s">
        <v>1377</v>
      </c>
      <c r="I2326" s="256">
        <v>45</v>
      </c>
      <c r="J2326" s="256">
        <v>20234.761471315949</v>
      </c>
      <c r="K2326" s="568">
        <f t="shared" si="269"/>
        <v>910564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54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268"/>
        <v>12</v>
      </c>
      <c r="C2327" s="37">
        <f t="shared" si="270"/>
        <v>41998</v>
      </c>
      <c r="D2327" s="37" t="s">
        <v>1384</v>
      </c>
      <c r="E2327" s="728">
        <v>41998</v>
      </c>
      <c r="F2327" s="40" t="s">
        <v>747</v>
      </c>
      <c r="G2327" s="40" t="s">
        <v>860</v>
      </c>
      <c r="H2327" s="7" t="s">
        <v>1377</v>
      </c>
      <c r="I2327" s="256">
        <v>90</v>
      </c>
      <c r="J2327" s="256">
        <v>1233.8269189826799</v>
      </c>
      <c r="K2327" s="568">
        <f t="shared" si="269"/>
        <v>111044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54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268"/>
        <v>12</v>
      </c>
      <c r="C2328" s="37">
        <f t="shared" si="270"/>
        <v>41999</v>
      </c>
      <c r="D2328" s="37" t="s">
        <v>1384</v>
      </c>
      <c r="E2328" s="728">
        <v>41999</v>
      </c>
      <c r="F2328" s="40" t="s">
        <v>861</v>
      </c>
      <c r="G2328" s="40" t="s">
        <v>862</v>
      </c>
      <c r="H2328" s="7" t="s">
        <v>1377</v>
      </c>
      <c r="I2328" s="256">
        <v>305</v>
      </c>
      <c r="J2328" s="256">
        <v>15792.984562978301</v>
      </c>
      <c r="K2328" s="568">
        <f t="shared" si="269"/>
        <v>4816860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54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268"/>
        <v>12</v>
      </c>
      <c r="C2329" s="37">
        <f t="shared" si="270"/>
        <v>41999</v>
      </c>
      <c r="D2329" s="37" t="s">
        <v>1384</v>
      </c>
      <c r="E2329" s="728">
        <v>41999</v>
      </c>
      <c r="F2329" s="40" t="s">
        <v>864</v>
      </c>
      <c r="G2329" s="40" t="s">
        <v>862</v>
      </c>
      <c r="H2329" s="7" t="s">
        <v>1377</v>
      </c>
      <c r="I2329" s="256">
        <v>615</v>
      </c>
      <c r="J2329" s="256">
        <v>7485.2166418282577</v>
      </c>
      <c r="K2329" s="568">
        <f t="shared" si="269"/>
        <v>4603408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54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268"/>
        <v>12</v>
      </c>
      <c r="C2330" s="37">
        <f t="shared" si="270"/>
        <v>41999</v>
      </c>
      <c r="D2330" s="37" t="s">
        <v>1384</v>
      </c>
      <c r="E2330" s="728">
        <v>41999</v>
      </c>
      <c r="F2330" s="40" t="s">
        <v>865</v>
      </c>
      <c r="G2330" s="40" t="s">
        <v>862</v>
      </c>
      <c r="H2330" s="7" t="s">
        <v>1377</v>
      </c>
      <c r="I2330" s="256">
        <v>953</v>
      </c>
      <c r="J2330" s="256">
        <v>6744.9204904386497</v>
      </c>
      <c r="K2330" s="568">
        <f t="shared" si="269"/>
        <v>6427909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54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268"/>
        <v>12</v>
      </c>
      <c r="C2331" s="37">
        <f t="shared" si="270"/>
        <v>41999</v>
      </c>
      <c r="D2331" s="37" t="s">
        <v>1384</v>
      </c>
      <c r="E2331" s="728">
        <v>41999</v>
      </c>
      <c r="F2331" s="40" t="s">
        <v>866</v>
      </c>
      <c r="G2331" s="40" t="s">
        <v>862</v>
      </c>
      <c r="H2331" s="7" t="s">
        <v>1377</v>
      </c>
      <c r="I2331" s="256">
        <v>300</v>
      </c>
      <c r="J2331" s="256">
        <v>6909.4307463030073</v>
      </c>
      <c r="K2331" s="568">
        <f t="shared" si="269"/>
        <v>2072829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54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268"/>
        <v>12</v>
      </c>
      <c r="C2332" s="37">
        <f t="shared" si="270"/>
        <v>41999</v>
      </c>
      <c r="D2332" s="37" t="s">
        <v>1384</v>
      </c>
      <c r="E2332" s="728">
        <v>41999</v>
      </c>
      <c r="F2332" s="40" t="s">
        <v>867</v>
      </c>
      <c r="G2332" s="40" t="s">
        <v>868</v>
      </c>
      <c r="H2332" s="7" t="s">
        <v>1377</v>
      </c>
      <c r="I2332" s="256">
        <v>416</v>
      </c>
      <c r="J2332" s="256">
        <v>5428.8384435237913</v>
      </c>
      <c r="K2332" s="568">
        <f t="shared" si="269"/>
        <v>2258397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54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68"/>
        <v>12</v>
      </c>
      <c r="C2333" s="37">
        <f t="shared" si="270"/>
        <v>41999</v>
      </c>
      <c r="D2333" s="37" t="s">
        <v>1384</v>
      </c>
      <c r="E2333" s="728">
        <v>41999</v>
      </c>
      <c r="F2333" s="40" t="s">
        <v>867</v>
      </c>
      <c r="G2333" s="40" t="s">
        <v>868</v>
      </c>
      <c r="H2333" s="7" t="s">
        <v>1377</v>
      </c>
      <c r="I2333" s="256">
        <v>602</v>
      </c>
      <c r="J2333" s="256">
        <v>5428.8384435237913</v>
      </c>
      <c r="K2333" s="568">
        <f t="shared" si="269"/>
        <v>3268161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54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68"/>
        <v>12</v>
      </c>
      <c r="C2334" s="37">
        <f t="shared" si="270"/>
        <v>41999</v>
      </c>
      <c r="D2334" s="37" t="s">
        <v>1384</v>
      </c>
      <c r="E2334" s="728">
        <v>41999</v>
      </c>
      <c r="F2334" s="40" t="s">
        <v>869</v>
      </c>
      <c r="G2334" s="40" t="s">
        <v>868</v>
      </c>
      <c r="H2334" s="7" t="s">
        <v>1377</v>
      </c>
      <c r="I2334" s="256">
        <v>413</v>
      </c>
      <c r="J2334" s="256">
        <v>4770.7974200663621</v>
      </c>
      <c r="K2334" s="568">
        <f t="shared" si="269"/>
        <v>1970339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54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268"/>
        <v>12</v>
      </c>
      <c r="C2335" s="37">
        <f t="shared" si="270"/>
        <v>42000</v>
      </c>
      <c r="D2335" s="37" t="s">
        <v>1384</v>
      </c>
      <c r="E2335" s="728">
        <v>42000</v>
      </c>
      <c r="F2335" s="40" t="s">
        <v>671</v>
      </c>
      <c r="G2335" s="40" t="s">
        <v>870</v>
      </c>
      <c r="H2335" s="7" t="s">
        <v>1377</v>
      </c>
      <c r="I2335" s="256">
        <v>1528</v>
      </c>
      <c r="J2335" s="256">
        <v>7402.9615138960789</v>
      </c>
      <c r="K2335" s="568">
        <f t="shared" si="269"/>
        <v>11311725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54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268"/>
        <v>12</v>
      </c>
      <c r="C2336" s="37">
        <f t="shared" si="270"/>
        <v>42000</v>
      </c>
      <c r="D2336" s="37" t="s">
        <v>1384</v>
      </c>
      <c r="E2336" s="728">
        <v>42000</v>
      </c>
      <c r="F2336" s="40" t="s">
        <v>516</v>
      </c>
      <c r="G2336" s="40" t="s">
        <v>871</v>
      </c>
      <c r="H2336" s="7" t="s">
        <v>1377</v>
      </c>
      <c r="I2336" s="256">
        <v>1010</v>
      </c>
      <c r="J2336" s="256">
        <v>9459.3397122005445</v>
      </c>
      <c r="K2336" s="568">
        <f t="shared" si="269"/>
        <v>9553933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54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68"/>
        <v>12</v>
      </c>
      <c r="C2337" s="37">
        <f t="shared" si="270"/>
        <v>42003</v>
      </c>
      <c r="D2337" s="37" t="s">
        <v>1384</v>
      </c>
      <c r="E2337" s="728">
        <v>42003</v>
      </c>
      <c r="F2337" s="40" t="s">
        <v>872</v>
      </c>
      <c r="G2337" s="40" t="s">
        <v>873</v>
      </c>
      <c r="H2337" s="7" t="s">
        <v>1377</v>
      </c>
      <c r="I2337" s="256">
        <v>310</v>
      </c>
      <c r="J2337" s="256">
        <v>7731.9820256247931</v>
      </c>
      <c r="K2337" s="568">
        <f t="shared" si="269"/>
        <v>2396914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54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68"/>
        <v>12</v>
      </c>
      <c r="C2338" s="37">
        <f t="shared" si="270"/>
        <v>42003</v>
      </c>
      <c r="D2338" s="37" t="s">
        <v>1384</v>
      </c>
      <c r="E2338" s="728">
        <v>42003</v>
      </c>
      <c r="F2338" s="40" t="s">
        <v>874</v>
      </c>
      <c r="G2338" s="40" t="s">
        <v>873</v>
      </c>
      <c r="H2338" s="7" t="s">
        <v>1377</v>
      </c>
      <c r="I2338" s="256">
        <v>219</v>
      </c>
      <c r="J2338" s="256">
        <v>7978.7474094213294</v>
      </c>
      <c r="K2338" s="568">
        <f t="shared" si="269"/>
        <v>1747346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54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68"/>
        <v>12</v>
      </c>
      <c r="C2339" s="37">
        <f t="shared" si="270"/>
        <v>42003</v>
      </c>
      <c r="D2339" s="37" t="s">
        <v>1384</v>
      </c>
      <c r="E2339" s="728">
        <v>42003</v>
      </c>
      <c r="F2339" s="40" t="s">
        <v>875</v>
      </c>
      <c r="G2339" s="40" t="s">
        <v>876</v>
      </c>
      <c r="H2339" s="7" t="s">
        <v>1377</v>
      </c>
      <c r="I2339" s="256">
        <v>30</v>
      </c>
      <c r="J2339" s="256">
        <v>21633.098646162987</v>
      </c>
      <c r="K2339" s="568">
        <f t="shared" si="269"/>
        <v>648993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54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68"/>
        <v>12</v>
      </c>
      <c r="C2340" s="37">
        <f t="shared" si="270"/>
        <v>42003</v>
      </c>
      <c r="D2340" s="37" t="s">
        <v>1384</v>
      </c>
      <c r="E2340" s="728">
        <v>42003</v>
      </c>
      <c r="F2340" s="40" t="s">
        <v>747</v>
      </c>
      <c r="G2340" s="40" t="s">
        <v>876</v>
      </c>
      <c r="H2340" s="7" t="s">
        <v>1377</v>
      </c>
      <c r="I2340" s="256">
        <v>60</v>
      </c>
      <c r="J2340" s="256">
        <v>1233.8269189826799</v>
      </c>
      <c r="K2340" s="568">
        <f t="shared" si="269"/>
        <v>74030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54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68"/>
        <v>12</v>
      </c>
      <c r="C2341" s="37">
        <f t="shared" si="270"/>
        <v>42003</v>
      </c>
      <c r="D2341" s="37" t="s">
        <v>1384</v>
      </c>
      <c r="E2341" s="728">
        <v>42003</v>
      </c>
      <c r="F2341" s="40" t="s">
        <v>555</v>
      </c>
      <c r="G2341" s="40" t="s">
        <v>877</v>
      </c>
      <c r="H2341" s="7" t="s">
        <v>1377</v>
      </c>
      <c r="I2341" s="256">
        <v>650</v>
      </c>
      <c r="J2341" s="256">
        <v>20646.037110976842</v>
      </c>
      <c r="K2341" s="568">
        <f t="shared" si="269"/>
        <v>13419924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54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68"/>
        <v>12</v>
      </c>
      <c r="C2342" s="37">
        <f t="shared" si="270"/>
        <v>42004</v>
      </c>
      <c r="D2342" s="37" t="s">
        <v>1384</v>
      </c>
      <c r="E2342" s="728">
        <v>42004</v>
      </c>
      <c r="F2342" s="40" t="s">
        <v>513</v>
      </c>
      <c r="G2342" s="40" t="s">
        <v>879</v>
      </c>
      <c r="H2342" s="7" t="s">
        <v>1377</v>
      </c>
      <c r="I2342" s="256">
        <v>307</v>
      </c>
      <c r="J2342" s="256">
        <v>5757.8589552525054</v>
      </c>
      <c r="K2342" s="568">
        <f t="shared" si="269"/>
        <v>1767663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54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68"/>
        <v>12</v>
      </c>
      <c r="C2343" s="37">
        <f t="shared" si="270"/>
        <v>42004</v>
      </c>
      <c r="D2343" s="37" t="s">
        <v>1384</v>
      </c>
      <c r="E2343" s="728">
        <v>42004</v>
      </c>
      <c r="F2343" s="40" t="s">
        <v>487</v>
      </c>
      <c r="G2343" s="40" t="s">
        <v>879</v>
      </c>
      <c r="H2343" s="7" t="s">
        <v>1377</v>
      </c>
      <c r="I2343" s="256">
        <v>200</v>
      </c>
      <c r="J2343" s="256">
        <v>7320.7063859639002</v>
      </c>
      <c r="K2343" s="568">
        <f t="shared" si="269"/>
        <v>1464141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54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68"/>
        <v>12</v>
      </c>
      <c r="C2344" s="37">
        <f t="shared" si="270"/>
        <v>42004</v>
      </c>
      <c r="D2344" s="37" t="s">
        <v>1384</v>
      </c>
      <c r="E2344" s="728">
        <v>42004</v>
      </c>
      <c r="F2344" s="40" t="s">
        <v>776</v>
      </c>
      <c r="G2344" s="40" t="s">
        <v>880</v>
      </c>
      <c r="H2344" s="7" t="s">
        <v>1377</v>
      </c>
      <c r="I2344" s="256">
        <v>2500</v>
      </c>
      <c r="J2344" s="256">
        <v>7402.9615138960789</v>
      </c>
      <c r="K2344" s="568">
        <f t="shared" si="269"/>
        <v>18507404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54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68"/>
        <v>12</v>
      </c>
      <c r="C2345" s="37">
        <f t="shared" si="270"/>
        <v>42004</v>
      </c>
      <c r="D2345" s="37" t="s">
        <v>1384</v>
      </c>
      <c r="E2345" s="728">
        <v>42004</v>
      </c>
      <c r="F2345" s="40" t="s">
        <v>881</v>
      </c>
      <c r="G2345" s="40" t="s">
        <v>882</v>
      </c>
      <c r="H2345" s="7" t="s">
        <v>1377</v>
      </c>
      <c r="I2345" s="256">
        <v>2050</v>
      </c>
      <c r="J2345" s="256">
        <v>3454.7153731515036</v>
      </c>
      <c r="K2345" s="568">
        <f t="shared" si="269"/>
        <v>7082167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54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68"/>
        <v>12</v>
      </c>
      <c r="C2346" s="37">
        <f t="shared" si="270"/>
        <v>42004</v>
      </c>
      <c r="D2346" s="37" t="s">
        <v>1384</v>
      </c>
      <c r="E2346" s="728">
        <v>42004</v>
      </c>
      <c r="F2346" s="40" t="s">
        <v>883</v>
      </c>
      <c r="G2346" s="40" t="s">
        <v>882</v>
      </c>
      <c r="H2346" s="7" t="s">
        <v>1377</v>
      </c>
      <c r="I2346" s="256">
        <v>210</v>
      </c>
      <c r="J2346" s="256">
        <v>5182.073059727255</v>
      </c>
      <c r="K2346" s="568">
        <f t="shared" si="269"/>
        <v>1088235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54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68"/>
        <v>12</v>
      </c>
      <c r="C2347" s="37">
        <f t="shared" si="270"/>
        <v>42004</v>
      </c>
      <c r="D2347" s="37" t="s">
        <v>1384</v>
      </c>
      <c r="E2347" s="728">
        <v>42004</v>
      </c>
      <c r="F2347" s="40" t="s">
        <v>884</v>
      </c>
      <c r="G2347" s="40" t="s">
        <v>882</v>
      </c>
      <c r="H2347" s="7" t="s">
        <v>1377</v>
      </c>
      <c r="I2347" s="256">
        <v>130</v>
      </c>
      <c r="J2347" s="256">
        <v>5346.5833155916125</v>
      </c>
      <c r="K2347" s="568">
        <f t="shared" si="269"/>
        <v>695056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54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68"/>
        <v>12</v>
      </c>
      <c r="C2348" s="37">
        <f t="shared" si="270"/>
        <v>42004</v>
      </c>
      <c r="D2348" s="37" t="s">
        <v>1384</v>
      </c>
      <c r="E2348" s="728">
        <v>42004</v>
      </c>
      <c r="F2348" s="40" t="s">
        <v>885</v>
      </c>
      <c r="G2348" s="40" t="s">
        <v>882</v>
      </c>
      <c r="H2348" s="7" t="s">
        <v>1377</v>
      </c>
      <c r="I2348" s="256">
        <v>170</v>
      </c>
      <c r="J2348" s="256">
        <v>4688.5422921341833</v>
      </c>
      <c r="K2348" s="568">
        <f t="shared" si="269"/>
        <v>797052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54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68"/>
        <v>12</v>
      </c>
      <c r="C2349" s="37">
        <f t="shared" si="270"/>
        <v>42004</v>
      </c>
      <c r="D2349" s="37" t="s">
        <v>1384</v>
      </c>
      <c r="E2349" s="728">
        <v>42004</v>
      </c>
      <c r="F2349" s="40" t="s">
        <v>886</v>
      </c>
      <c r="G2349" s="40" t="s">
        <v>887</v>
      </c>
      <c r="H2349" s="7" t="s">
        <v>1377</v>
      </c>
      <c r="I2349" s="256">
        <v>200</v>
      </c>
      <c r="J2349" s="256">
        <v>9212.5743284040109</v>
      </c>
      <c r="K2349" s="568">
        <f t="shared" si="269"/>
        <v>1842515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54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268"/>
        <v>12</v>
      </c>
      <c r="C2350" s="37">
        <f t="shared" si="270"/>
        <v>42004</v>
      </c>
      <c r="D2350" s="37" t="s">
        <v>1384</v>
      </c>
      <c r="E2350" s="728">
        <v>42004</v>
      </c>
      <c r="F2350" s="443" t="s">
        <v>889</v>
      </c>
      <c r="G2350" s="40" t="s">
        <v>887</v>
      </c>
      <c r="H2350" s="7" t="s">
        <v>1377</v>
      </c>
      <c r="I2350" s="256">
        <v>100</v>
      </c>
      <c r="J2350" s="256">
        <v>32984.306300803641</v>
      </c>
      <c r="K2350" s="568">
        <f t="shared" si="269"/>
        <v>3298431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54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68"/>
        <v>12</v>
      </c>
      <c r="C2351" s="37">
        <f t="shared" si="270"/>
        <v>42004</v>
      </c>
      <c r="D2351" s="37" t="s">
        <v>1384</v>
      </c>
      <c r="E2351" s="728">
        <v>42004</v>
      </c>
      <c r="F2351" s="40" t="s">
        <v>890</v>
      </c>
      <c r="G2351" s="40" t="s">
        <v>887</v>
      </c>
      <c r="H2351" s="7" t="s">
        <v>1377</v>
      </c>
      <c r="I2351" s="256">
        <v>100</v>
      </c>
      <c r="J2351" s="256">
        <v>34300.388347718501</v>
      </c>
      <c r="K2351" s="568">
        <f t="shared" si="269"/>
        <v>3430039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54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68"/>
        <v>12</v>
      </c>
      <c r="C2352" s="37">
        <f t="shared" si="270"/>
        <v>42004</v>
      </c>
      <c r="D2352" s="37" t="s">
        <v>1384</v>
      </c>
      <c r="E2352" s="728">
        <v>42004</v>
      </c>
      <c r="F2352" s="40" t="s">
        <v>891</v>
      </c>
      <c r="G2352" s="40" t="s">
        <v>887</v>
      </c>
      <c r="H2352" s="7" t="s">
        <v>1377</v>
      </c>
      <c r="I2352" s="256">
        <v>150</v>
      </c>
      <c r="J2352" s="256">
        <v>28871.549904194708</v>
      </c>
      <c r="K2352" s="568">
        <f t="shared" si="269"/>
        <v>4330732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54"/>
    </row>
    <row r="2353" spans="1:31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268"/>
        <v>12</v>
      </c>
      <c r="C2353" s="37">
        <f t="shared" si="270"/>
        <v>42004</v>
      </c>
      <c r="D2353" s="37" t="s">
        <v>1384</v>
      </c>
      <c r="E2353" s="728">
        <v>42004</v>
      </c>
      <c r="F2353" s="192" t="s">
        <v>892</v>
      </c>
      <c r="G2353" s="468" t="s">
        <v>893</v>
      </c>
      <c r="H2353" s="7" t="s">
        <v>1377</v>
      </c>
      <c r="I2353" s="256">
        <v>1280</v>
      </c>
      <c r="J2353" s="256">
        <v>13489.840980877299</v>
      </c>
      <c r="K2353" s="568">
        <f t="shared" si="269"/>
        <v>17266996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54"/>
    </row>
    <row r="2354" spans="1:31" s="211" customFormat="1" ht="15.75" customHeight="1">
      <c r="A2354" s="204" t="str">
        <f>IF(B2354&lt;&gt;"",IF(AND(B2354&gt;=_TM1,B2354&lt;=_TM2,OR(TH!L2354="1111",TH!M2354="1111")),TH!D2354,""),"")</f>
        <v/>
      </c>
      <c r="B2354" s="36" t="str">
        <f t="shared" si="268"/>
        <v/>
      </c>
      <c r="C2354" s="191"/>
      <c r="D2354" s="37"/>
      <c r="E2354" s="728"/>
      <c r="F2354" s="192"/>
      <c r="G2354" s="468"/>
      <c r="H2354" s="193"/>
      <c r="I2354" s="256"/>
      <c r="J2354" s="256"/>
      <c r="K2354" s="568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89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15"/>
    </row>
    <row r="2355" spans="1:31" s="211" customFormat="1" ht="15.75" customHeight="1">
      <c r="A2355" s="204" t="str">
        <f>IF(B2355&lt;&gt;"",IF(AND(B2355&gt;=_TM1,B2355&lt;=_TM2,OR(TH!L2355="1111",TH!M2355="1111")),TH!D2355,""),"")</f>
        <v/>
      </c>
      <c r="B2355" s="36" t="str">
        <f t="shared" si="268"/>
        <v/>
      </c>
      <c r="C2355" s="191"/>
      <c r="D2355" s="37"/>
      <c r="E2355" s="728"/>
      <c r="F2355" s="192"/>
      <c r="G2355" s="468"/>
      <c r="H2355" s="193"/>
      <c r="I2355" s="256"/>
      <c r="J2355" s="256"/>
      <c r="K2355" s="568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89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15"/>
    </row>
    <row r="2356" spans="1:31" s="211" customFormat="1" ht="15.75" customHeight="1">
      <c r="A2356" s="204" t="str">
        <f>IF(B2356&lt;&gt;"",IF(AND(B2356&gt;=_TM1,B2356&lt;=_TM2,OR(TH!L2356="1111",TH!M2356="1111")),TH!D2356,""),"")</f>
        <v/>
      </c>
      <c r="B2356" s="36" t="str">
        <f t="shared" si="268"/>
        <v/>
      </c>
      <c r="C2356" s="191"/>
      <c r="D2356" s="37"/>
      <c r="E2356" s="728"/>
      <c r="F2356" s="192"/>
      <c r="G2356" s="468"/>
      <c r="H2356" s="193"/>
      <c r="I2356" s="256"/>
      <c r="J2356" s="256"/>
      <c r="K2356" s="568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89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15"/>
    </row>
    <row r="2357" spans="1:31" s="211" customFormat="1" ht="15.75" customHeight="1">
      <c r="A2357" s="204" t="str">
        <f>IF(B2357&lt;&gt;"",IF(AND(B2357&gt;=_TM1,B2357&lt;=_TM2,OR(TH!L2357="1111",TH!M2357="1111")),TH!D2357,""),"")</f>
        <v/>
      </c>
      <c r="B2357" s="36" t="str">
        <f t="shared" si="268"/>
        <v/>
      </c>
      <c r="C2357" s="191"/>
      <c r="D2357" s="37"/>
      <c r="E2357" s="728"/>
      <c r="F2357" s="192"/>
      <c r="G2357" s="468"/>
      <c r="H2357" s="193"/>
      <c r="I2357" s="256"/>
      <c r="J2357" s="256"/>
      <c r="K2357" s="568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89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15"/>
    </row>
    <row r="2358" spans="1:31" s="211" customFormat="1" ht="15.75" customHeight="1">
      <c r="A2358" s="204" t="str">
        <f>IF(B2358&lt;&gt;"",IF(AND(B2358&gt;=_TM1,B2358&lt;=_TM2,OR(TH!L2358="1111",TH!M2358="1111")),TH!D2358,""),"")</f>
        <v/>
      </c>
      <c r="B2358" s="36" t="str">
        <f t="shared" si="268"/>
        <v/>
      </c>
      <c r="C2358" s="191"/>
      <c r="D2358" s="37"/>
      <c r="E2358" s="728"/>
      <c r="F2358" s="192"/>
      <c r="G2358" s="468"/>
      <c r="H2358" s="193"/>
      <c r="I2358" s="256"/>
      <c r="J2358" s="256"/>
      <c r="K2358" s="568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89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15"/>
    </row>
    <row r="2359" spans="1:31" s="211" customFormat="1" ht="15.75" customHeight="1">
      <c r="A2359" s="204" t="str">
        <f>IF(B2359&lt;&gt;"",IF(AND(B2359&gt;=_TM1,B2359&lt;=_TM2,OR(TH!L2359="1111",TH!M2359="1111")),TH!D2359,""),"")</f>
        <v/>
      </c>
      <c r="B2359" s="36" t="str">
        <f t="shared" si="268"/>
        <v/>
      </c>
      <c r="C2359" s="191"/>
      <c r="D2359" s="37"/>
      <c r="E2359" s="728"/>
      <c r="F2359" s="192"/>
      <c r="G2359" s="468"/>
      <c r="H2359" s="193"/>
      <c r="I2359" s="256"/>
      <c r="J2359" s="256"/>
      <c r="K2359" s="568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89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15"/>
    </row>
    <row r="2360" spans="1:31" s="211" customFormat="1" ht="15.75" customHeight="1">
      <c r="A2360" s="204" t="str">
        <f>IF(B2360&lt;&gt;"",IF(AND(B2360&gt;=_TM1,B2360&lt;=_TM2,OR(TH!L2360="1111",TH!M2360="1111")),TH!D2360,""),"")</f>
        <v/>
      </c>
      <c r="B2360" s="36" t="str">
        <f t="shared" ref="B2360:B2361" si="271">IF(C2360&lt;&gt;"",MONTH(C2360),"")</f>
        <v/>
      </c>
      <c r="C2360" s="37"/>
      <c r="D2360" s="37"/>
      <c r="E2360" s="37"/>
      <c r="F2360" s="40"/>
      <c r="G2360" s="40"/>
      <c r="H2360" s="44"/>
      <c r="I2360" s="256"/>
      <c r="J2360" s="256"/>
      <c r="K2360" s="38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89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15"/>
    </row>
    <row r="2361" spans="1:31" s="211" customFormat="1" ht="15.75" customHeight="1">
      <c r="A2361" s="204" t="str">
        <f>IF(B2361&lt;&gt;"",IF(AND(B2361&gt;=_TM1,B2361&lt;=_TM2,OR(TH!L2361="1111",TH!M2361="1111")),TH!D2361,""),"")</f>
        <v/>
      </c>
      <c r="B2361" s="36" t="str">
        <f t="shared" si="271"/>
        <v/>
      </c>
      <c r="C2361" s="37"/>
      <c r="D2361" s="37"/>
      <c r="E2361" s="37"/>
      <c r="F2361" s="40"/>
      <c r="G2361" s="40"/>
      <c r="H2361" s="44"/>
      <c r="I2361" s="256"/>
      <c r="J2361" s="256"/>
      <c r="K2361" s="38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89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15"/>
    </row>
    <row r="2363" spans="1:31">
      <c r="J2363" s="779"/>
    </row>
    <row r="2366" spans="1:31">
      <c r="H2366" s="778"/>
    </row>
    <row r="2367" spans="1:31">
      <c r="K2367" s="464">
        <f>SUBTOTAL(9,K10:K2361)</f>
        <v>25237159755</v>
      </c>
    </row>
    <row r="2368" spans="1:3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 customFormat="1"/>
    <row r="2370" spans="1:3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</sheetData>
  <autoFilter ref="A9:AE2361"/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W7:W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0" customWidth="1"/>
    <col min="2" max="2" width="9.28515625" style="590" customWidth="1"/>
    <col min="3" max="3" width="10" style="590" customWidth="1"/>
    <col min="4" max="4" width="41.42578125" style="590" customWidth="1"/>
    <col min="5" max="5" width="6" style="590" customWidth="1"/>
    <col min="6" max="6" width="7.85546875" style="590" customWidth="1"/>
    <col min="7" max="7" width="8.5703125" style="590" customWidth="1"/>
    <col min="8" max="8" width="13.85546875" style="590" customWidth="1"/>
    <col min="9" max="9" width="14.140625" style="590" customWidth="1"/>
    <col min="10" max="11" width="9.140625" style="590"/>
    <col min="12" max="12" width="3.5703125" style="590" customWidth="1"/>
    <col min="13" max="256" width="9.140625" style="590"/>
    <col min="257" max="257" width="13" style="590" customWidth="1"/>
    <col min="258" max="258" width="9.140625" style="590"/>
    <col min="259" max="259" width="13" style="590" customWidth="1"/>
    <col min="260" max="260" width="29.7109375" style="590" customWidth="1"/>
    <col min="261" max="261" width="7.7109375" style="590" customWidth="1"/>
    <col min="262" max="262" width="6" style="590" customWidth="1"/>
    <col min="263" max="263" width="11.5703125" style="590" customWidth="1"/>
    <col min="264" max="264" width="13.42578125" style="590" customWidth="1"/>
    <col min="265" max="265" width="13.85546875" style="590" customWidth="1"/>
    <col min="266" max="512" width="9.140625" style="590"/>
    <col min="513" max="513" width="13" style="590" customWidth="1"/>
    <col min="514" max="514" width="9.140625" style="590"/>
    <col min="515" max="515" width="13" style="590" customWidth="1"/>
    <col min="516" max="516" width="29.7109375" style="590" customWidth="1"/>
    <col min="517" max="517" width="7.7109375" style="590" customWidth="1"/>
    <col min="518" max="518" width="6" style="590" customWidth="1"/>
    <col min="519" max="519" width="11.5703125" style="590" customWidth="1"/>
    <col min="520" max="520" width="13.42578125" style="590" customWidth="1"/>
    <col min="521" max="521" width="13.85546875" style="590" customWidth="1"/>
    <col min="522" max="768" width="9.140625" style="590"/>
    <col min="769" max="769" width="13" style="590" customWidth="1"/>
    <col min="770" max="770" width="9.140625" style="590"/>
    <col min="771" max="771" width="13" style="590" customWidth="1"/>
    <col min="772" max="772" width="29.7109375" style="590" customWidth="1"/>
    <col min="773" max="773" width="7.7109375" style="590" customWidth="1"/>
    <col min="774" max="774" width="6" style="590" customWidth="1"/>
    <col min="775" max="775" width="11.5703125" style="590" customWidth="1"/>
    <col min="776" max="776" width="13.42578125" style="590" customWidth="1"/>
    <col min="777" max="777" width="13.85546875" style="590" customWidth="1"/>
    <col min="778" max="1024" width="9.140625" style="590"/>
    <col min="1025" max="1025" width="13" style="590" customWidth="1"/>
    <col min="1026" max="1026" width="9.140625" style="590"/>
    <col min="1027" max="1027" width="13" style="590" customWidth="1"/>
    <col min="1028" max="1028" width="29.7109375" style="590" customWidth="1"/>
    <col min="1029" max="1029" width="7.7109375" style="590" customWidth="1"/>
    <col min="1030" max="1030" width="6" style="590" customWidth="1"/>
    <col min="1031" max="1031" width="11.5703125" style="590" customWidth="1"/>
    <col min="1032" max="1032" width="13.42578125" style="590" customWidth="1"/>
    <col min="1033" max="1033" width="13.85546875" style="590" customWidth="1"/>
    <col min="1034" max="1280" width="9.140625" style="590"/>
    <col min="1281" max="1281" width="13" style="590" customWidth="1"/>
    <col min="1282" max="1282" width="9.140625" style="590"/>
    <col min="1283" max="1283" width="13" style="590" customWidth="1"/>
    <col min="1284" max="1284" width="29.7109375" style="590" customWidth="1"/>
    <col min="1285" max="1285" width="7.7109375" style="590" customWidth="1"/>
    <col min="1286" max="1286" width="6" style="590" customWidth="1"/>
    <col min="1287" max="1287" width="11.5703125" style="590" customWidth="1"/>
    <col min="1288" max="1288" width="13.42578125" style="590" customWidth="1"/>
    <col min="1289" max="1289" width="13.85546875" style="590" customWidth="1"/>
    <col min="1290" max="1536" width="9.140625" style="590"/>
    <col min="1537" max="1537" width="13" style="590" customWidth="1"/>
    <col min="1538" max="1538" width="9.140625" style="590"/>
    <col min="1539" max="1539" width="13" style="590" customWidth="1"/>
    <col min="1540" max="1540" width="29.7109375" style="590" customWidth="1"/>
    <col min="1541" max="1541" width="7.7109375" style="590" customWidth="1"/>
    <col min="1542" max="1542" width="6" style="590" customWidth="1"/>
    <col min="1543" max="1543" width="11.5703125" style="590" customWidth="1"/>
    <col min="1544" max="1544" width="13.42578125" style="590" customWidth="1"/>
    <col min="1545" max="1545" width="13.85546875" style="590" customWidth="1"/>
    <col min="1546" max="1792" width="9.140625" style="590"/>
    <col min="1793" max="1793" width="13" style="590" customWidth="1"/>
    <col min="1794" max="1794" width="9.140625" style="590"/>
    <col min="1795" max="1795" width="13" style="590" customWidth="1"/>
    <col min="1796" max="1796" width="29.7109375" style="590" customWidth="1"/>
    <col min="1797" max="1797" width="7.7109375" style="590" customWidth="1"/>
    <col min="1798" max="1798" width="6" style="590" customWidth="1"/>
    <col min="1799" max="1799" width="11.5703125" style="590" customWidth="1"/>
    <col min="1800" max="1800" width="13.42578125" style="590" customWidth="1"/>
    <col min="1801" max="1801" width="13.85546875" style="590" customWidth="1"/>
    <col min="1802" max="2048" width="9.140625" style="590"/>
    <col min="2049" max="2049" width="13" style="590" customWidth="1"/>
    <col min="2050" max="2050" width="9.140625" style="590"/>
    <col min="2051" max="2051" width="13" style="590" customWidth="1"/>
    <col min="2052" max="2052" width="29.7109375" style="590" customWidth="1"/>
    <col min="2053" max="2053" width="7.7109375" style="590" customWidth="1"/>
    <col min="2054" max="2054" width="6" style="590" customWidth="1"/>
    <col min="2055" max="2055" width="11.5703125" style="590" customWidth="1"/>
    <col min="2056" max="2056" width="13.42578125" style="590" customWidth="1"/>
    <col min="2057" max="2057" width="13.85546875" style="590" customWidth="1"/>
    <col min="2058" max="2304" width="9.140625" style="590"/>
    <col min="2305" max="2305" width="13" style="590" customWidth="1"/>
    <col min="2306" max="2306" width="9.140625" style="590"/>
    <col min="2307" max="2307" width="13" style="590" customWidth="1"/>
    <col min="2308" max="2308" width="29.7109375" style="590" customWidth="1"/>
    <col min="2309" max="2309" width="7.7109375" style="590" customWidth="1"/>
    <col min="2310" max="2310" width="6" style="590" customWidth="1"/>
    <col min="2311" max="2311" width="11.5703125" style="590" customWidth="1"/>
    <col min="2312" max="2312" width="13.42578125" style="590" customWidth="1"/>
    <col min="2313" max="2313" width="13.85546875" style="590" customWidth="1"/>
    <col min="2314" max="2560" width="9.140625" style="590"/>
    <col min="2561" max="2561" width="13" style="590" customWidth="1"/>
    <col min="2562" max="2562" width="9.140625" style="590"/>
    <col min="2563" max="2563" width="13" style="590" customWidth="1"/>
    <col min="2564" max="2564" width="29.7109375" style="590" customWidth="1"/>
    <col min="2565" max="2565" width="7.7109375" style="590" customWidth="1"/>
    <col min="2566" max="2566" width="6" style="590" customWidth="1"/>
    <col min="2567" max="2567" width="11.5703125" style="590" customWidth="1"/>
    <col min="2568" max="2568" width="13.42578125" style="590" customWidth="1"/>
    <col min="2569" max="2569" width="13.85546875" style="590" customWidth="1"/>
    <col min="2570" max="2816" width="9.140625" style="590"/>
    <col min="2817" max="2817" width="13" style="590" customWidth="1"/>
    <col min="2818" max="2818" width="9.140625" style="590"/>
    <col min="2819" max="2819" width="13" style="590" customWidth="1"/>
    <col min="2820" max="2820" width="29.7109375" style="590" customWidth="1"/>
    <col min="2821" max="2821" width="7.7109375" style="590" customWidth="1"/>
    <col min="2822" max="2822" width="6" style="590" customWidth="1"/>
    <col min="2823" max="2823" width="11.5703125" style="590" customWidth="1"/>
    <col min="2824" max="2824" width="13.42578125" style="590" customWidth="1"/>
    <col min="2825" max="2825" width="13.85546875" style="590" customWidth="1"/>
    <col min="2826" max="3072" width="9.140625" style="590"/>
    <col min="3073" max="3073" width="13" style="590" customWidth="1"/>
    <col min="3074" max="3074" width="9.140625" style="590"/>
    <col min="3075" max="3075" width="13" style="590" customWidth="1"/>
    <col min="3076" max="3076" width="29.7109375" style="590" customWidth="1"/>
    <col min="3077" max="3077" width="7.7109375" style="590" customWidth="1"/>
    <col min="3078" max="3078" width="6" style="590" customWidth="1"/>
    <col min="3079" max="3079" width="11.5703125" style="590" customWidth="1"/>
    <col min="3080" max="3080" width="13.42578125" style="590" customWidth="1"/>
    <col min="3081" max="3081" width="13.85546875" style="590" customWidth="1"/>
    <col min="3082" max="3328" width="9.140625" style="590"/>
    <col min="3329" max="3329" width="13" style="590" customWidth="1"/>
    <col min="3330" max="3330" width="9.140625" style="590"/>
    <col min="3331" max="3331" width="13" style="590" customWidth="1"/>
    <col min="3332" max="3332" width="29.7109375" style="590" customWidth="1"/>
    <col min="3333" max="3333" width="7.7109375" style="590" customWidth="1"/>
    <col min="3334" max="3334" width="6" style="590" customWidth="1"/>
    <col min="3335" max="3335" width="11.5703125" style="590" customWidth="1"/>
    <col min="3336" max="3336" width="13.42578125" style="590" customWidth="1"/>
    <col min="3337" max="3337" width="13.85546875" style="590" customWidth="1"/>
    <col min="3338" max="3584" width="9.140625" style="590"/>
    <col min="3585" max="3585" width="13" style="590" customWidth="1"/>
    <col min="3586" max="3586" width="9.140625" style="590"/>
    <col min="3587" max="3587" width="13" style="590" customWidth="1"/>
    <col min="3588" max="3588" width="29.7109375" style="590" customWidth="1"/>
    <col min="3589" max="3589" width="7.7109375" style="590" customWidth="1"/>
    <col min="3590" max="3590" width="6" style="590" customWidth="1"/>
    <col min="3591" max="3591" width="11.5703125" style="590" customWidth="1"/>
    <col min="3592" max="3592" width="13.42578125" style="590" customWidth="1"/>
    <col min="3593" max="3593" width="13.85546875" style="590" customWidth="1"/>
    <col min="3594" max="3840" width="9.140625" style="590"/>
    <col min="3841" max="3841" width="13" style="590" customWidth="1"/>
    <col min="3842" max="3842" width="9.140625" style="590"/>
    <col min="3843" max="3843" width="13" style="590" customWidth="1"/>
    <col min="3844" max="3844" width="29.7109375" style="590" customWidth="1"/>
    <col min="3845" max="3845" width="7.7109375" style="590" customWidth="1"/>
    <col min="3846" max="3846" width="6" style="590" customWidth="1"/>
    <col min="3847" max="3847" width="11.5703125" style="590" customWidth="1"/>
    <col min="3848" max="3848" width="13.42578125" style="590" customWidth="1"/>
    <col min="3849" max="3849" width="13.85546875" style="590" customWidth="1"/>
    <col min="3850" max="4096" width="9.140625" style="590"/>
    <col min="4097" max="4097" width="13" style="590" customWidth="1"/>
    <col min="4098" max="4098" width="9.140625" style="590"/>
    <col min="4099" max="4099" width="13" style="590" customWidth="1"/>
    <col min="4100" max="4100" width="29.7109375" style="590" customWidth="1"/>
    <col min="4101" max="4101" width="7.7109375" style="590" customWidth="1"/>
    <col min="4102" max="4102" width="6" style="590" customWidth="1"/>
    <col min="4103" max="4103" width="11.5703125" style="590" customWidth="1"/>
    <col min="4104" max="4104" width="13.42578125" style="590" customWidth="1"/>
    <col min="4105" max="4105" width="13.85546875" style="590" customWidth="1"/>
    <col min="4106" max="4352" width="9.140625" style="590"/>
    <col min="4353" max="4353" width="13" style="590" customWidth="1"/>
    <col min="4354" max="4354" width="9.140625" style="590"/>
    <col min="4355" max="4355" width="13" style="590" customWidth="1"/>
    <col min="4356" max="4356" width="29.7109375" style="590" customWidth="1"/>
    <col min="4357" max="4357" width="7.7109375" style="590" customWidth="1"/>
    <col min="4358" max="4358" width="6" style="590" customWidth="1"/>
    <col min="4359" max="4359" width="11.5703125" style="590" customWidth="1"/>
    <col min="4360" max="4360" width="13.42578125" style="590" customWidth="1"/>
    <col min="4361" max="4361" width="13.85546875" style="590" customWidth="1"/>
    <col min="4362" max="4608" width="9.140625" style="590"/>
    <col min="4609" max="4609" width="13" style="590" customWidth="1"/>
    <col min="4610" max="4610" width="9.140625" style="590"/>
    <col min="4611" max="4611" width="13" style="590" customWidth="1"/>
    <col min="4612" max="4612" width="29.7109375" style="590" customWidth="1"/>
    <col min="4613" max="4613" width="7.7109375" style="590" customWidth="1"/>
    <col min="4614" max="4614" width="6" style="590" customWidth="1"/>
    <col min="4615" max="4615" width="11.5703125" style="590" customWidth="1"/>
    <col min="4616" max="4616" width="13.42578125" style="590" customWidth="1"/>
    <col min="4617" max="4617" width="13.85546875" style="590" customWidth="1"/>
    <col min="4618" max="4864" width="9.140625" style="590"/>
    <col min="4865" max="4865" width="13" style="590" customWidth="1"/>
    <col min="4866" max="4866" width="9.140625" style="590"/>
    <col min="4867" max="4867" width="13" style="590" customWidth="1"/>
    <col min="4868" max="4868" width="29.7109375" style="590" customWidth="1"/>
    <col min="4869" max="4869" width="7.7109375" style="590" customWidth="1"/>
    <col min="4870" max="4870" width="6" style="590" customWidth="1"/>
    <col min="4871" max="4871" width="11.5703125" style="590" customWidth="1"/>
    <col min="4872" max="4872" width="13.42578125" style="590" customWidth="1"/>
    <col min="4873" max="4873" width="13.85546875" style="590" customWidth="1"/>
    <col min="4874" max="5120" width="9.140625" style="590"/>
    <col min="5121" max="5121" width="13" style="590" customWidth="1"/>
    <col min="5122" max="5122" width="9.140625" style="590"/>
    <col min="5123" max="5123" width="13" style="590" customWidth="1"/>
    <col min="5124" max="5124" width="29.7109375" style="590" customWidth="1"/>
    <col min="5125" max="5125" width="7.7109375" style="590" customWidth="1"/>
    <col min="5126" max="5126" width="6" style="590" customWidth="1"/>
    <col min="5127" max="5127" width="11.5703125" style="590" customWidth="1"/>
    <col min="5128" max="5128" width="13.42578125" style="590" customWidth="1"/>
    <col min="5129" max="5129" width="13.85546875" style="590" customWidth="1"/>
    <col min="5130" max="5376" width="9.140625" style="590"/>
    <col min="5377" max="5377" width="13" style="590" customWidth="1"/>
    <col min="5378" max="5378" width="9.140625" style="590"/>
    <col min="5379" max="5379" width="13" style="590" customWidth="1"/>
    <col min="5380" max="5380" width="29.7109375" style="590" customWidth="1"/>
    <col min="5381" max="5381" width="7.7109375" style="590" customWidth="1"/>
    <col min="5382" max="5382" width="6" style="590" customWidth="1"/>
    <col min="5383" max="5383" width="11.5703125" style="590" customWidth="1"/>
    <col min="5384" max="5384" width="13.42578125" style="590" customWidth="1"/>
    <col min="5385" max="5385" width="13.85546875" style="590" customWidth="1"/>
    <col min="5386" max="5632" width="9.140625" style="590"/>
    <col min="5633" max="5633" width="13" style="590" customWidth="1"/>
    <col min="5634" max="5634" width="9.140625" style="590"/>
    <col min="5635" max="5635" width="13" style="590" customWidth="1"/>
    <col min="5636" max="5636" width="29.7109375" style="590" customWidth="1"/>
    <col min="5637" max="5637" width="7.7109375" style="590" customWidth="1"/>
    <col min="5638" max="5638" width="6" style="590" customWidth="1"/>
    <col min="5639" max="5639" width="11.5703125" style="590" customWidth="1"/>
    <col min="5640" max="5640" width="13.42578125" style="590" customWidth="1"/>
    <col min="5641" max="5641" width="13.85546875" style="590" customWidth="1"/>
    <col min="5642" max="5888" width="9.140625" style="590"/>
    <col min="5889" max="5889" width="13" style="590" customWidth="1"/>
    <col min="5890" max="5890" width="9.140625" style="590"/>
    <col min="5891" max="5891" width="13" style="590" customWidth="1"/>
    <col min="5892" max="5892" width="29.7109375" style="590" customWidth="1"/>
    <col min="5893" max="5893" width="7.7109375" style="590" customWidth="1"/>
    <col min="5894" max="5894" width="6" style="590" customWidth="1"/>
    <col min="5895" max="5895" width="11.5703125" style="590" customWidth="1"/>
    <col min="5896" max="5896" width="13.42578125" style="590" customWidth="1"/>
    <col min="5897" max="5897" width="13.85546875" style="590" customWidth="1"/>
    <col min="5898" max="6144" width="9.140625" style="590"/>
    <col min="6145" max="6145" width="13" style="590" customWidth="1"/>
    <col min="6146" max="6146" width="9.140625" style="590"/>
    <col min="6147" max="6147" width="13" style="590" customWidth="1"/>
    <col min="6148" max="6148" width="29.7109375" style="590" customWidth="1"/>
    <col min="6149" max="6149" width="7.7109375" style="590" customWidth="1"/>
    <col min="6150" max="6150" width="6" style="590" customWidth="1"/>
    <col min="6151" max="6151" width="11.5703125" style="590" customWidth="1"/>
    <col min="6152" max="6152" width="13.42578125" style="590" customWidth="1"/>
    <col min="6153" max="6153" width="13.85546875" style="590" customWidth="1"/>
    <col min="6154" max="6400" width="9.140625" style="590"/>
    <col min="6401" max="6401" width="13" style="590" customWidth="1"/>
    <col min="6402" max="6402" width="9.140625" style="590"/>
    <col min="6403" max="6403" width="13" style="590" customWidth="1"/>
    <col min="6404" max="6404" width="29.7109375" style="590" customWidth="1"/>
    <col min="6405" max="6405" width="7.7109375" style="590" customWidth="1"/>
    <col min="6406" max="6406" width="6" style="590" customWidth="1"/>
    <col min="6407" max="6407" width="11.5703125" style="590" customWidth="1"/>
    <col min="6408" max="6408" width="13.42578125" style="590" customWidth="1"/>
    <col min="6409" max="6409" width="13.85546875" style="590" customWidth="1"/>
    <col min="6410" max="6656" width="9.140625" style="590"/>
    <col min="6657" max="6657" width="13" style="590" customWidth="1"/>
    <col min="6658" max="6658" width="9.140625" style="590"/>
    <col min="6659" max="6659" width="13" style="590" customWidth="1"/>
    <col min="6660" max="6660" width="29.7109375" style="590" customWidth="1"/>
    <col min="6661" max="6661" width="7.7109375" style="590" customWidth="1"/>
    <col min="6662" max="6662" width="6" style="590" customWidth="1"/>
    <col min="6663" max="6663" width="11.5703125" style="590" customWidth="1"/>
    <col min="6664" max="6664" width="13.42578125" style="590" customWidth="1"/>
    <col min="6665" max="6665" width="13.85546875" style="590" customWidth="1"/>
    <col min="6666" max="6912" width="9.140625" style="590"/>
    <col min="6913" max="6913" width="13" style="590" customWidth="1"/>
    <col min="6914" max="6914" width="9.140625" style="590"/>
    <col min="6915" max="6915" width="13" style="590" customWidth="1"/>
    <col min="6916" max="6916" width="29.7109375" style="590" customWidth="1"/>
    <col min="6917" max="6917" width="7.7109375" style="590" customWidth="1"/>
    <col min="6918" max="6918" width="6" style="590" customWidth="1"/>
    <col min="6919" max="6919" width="11.5703125" style="590" customWidth="1"/>
    <col min="6920" max="6920" width="13.42578125" style="590" customWidth="1"/>
    <col min="6921" max="6921" width="13.85546875" style="590" customWidth="1"/>
    <col min="6922" max="7168" width="9.140625" style="590"/>
    <col min="7169" max="7169" width="13" style="590" customWidth="1"/>
    <col min="7170" max="7170" width="9.140625" style="590"/>
    <col min="7171" max="7171" width="13" style="590" customWidth="1"/>
    <col min="7172" max="7172" width="29.7109375" style="590" customWidth="1"/>
    <col min="7173" max="7173" width="7.7109375" style="590" customWidth="1"/>
    <col min="7174" max="7174" width="6" style="590" customWidth="1"/>
    <col min="7175" max="7175" width="11.5703125" style="590" customWidth="1"/>
    <col min="7176" max="7176" width="13.42578125" style="590" customWidth="1"/>
    <col min="7177" max="7177" width="13.85546875" style="590" customWidth="1"/>
    <col min="7178" max="7424" width="9.140625" style="590"/>
    <col min="7425" max="7425" width="13" style="590" customWidth="1"/>
    <col min="7426" max="7426" width="9.140625" style="590"/>
    <col min="7427" max="7427" width="13" style="590" customWidth="1"/>
    <col min="7428" max="7428" width="29.7109375" style="590" customWidth="1"/>
    <col min="7429" max="7429" width="7.7109375" style="590" customWidth="1"/>
    <col min="7430" max="7430" width="6" style="590" customWidth="1"/>
    <col min="7431" max="7431" width="11.5703125" style="590" customWidth="1"/>
    <col min="7432" max="7432" width="13.42578125" style="590" customWidth="1"/>
    <col min="7433" max="7433" width="13.85546875" style="590" customWidth="1"/>
    <col min="7434" max="7680" width="9.140625" style="590"/>
    <col min="7681" max="7681" width="13" style="590" customWidth="1"/>
    <col min="7682" max="7682" width="9.140625" style="590"/>
    <col min="7683" max="7683" width="13" style="590" customWidth="1"/>
    <col min="7684" max="7684" width="29.7109375" style="590" customWidth="1"/>
    <col min="7685" max="7685" width="7.7109375" style="590" customWidth="1"/>
    <col min="7686" max="7686" width="6" style="590" customWidth="1"/>
    <col min="7687" max="7687" width="11.5703125" style="590" customWidth="1"/>
    <col min="7688" max="7688" width="13.42578125" style="590" customWidth="1"/>
    <col min="7689" max="7689" width="13.85546875" style="590" customWidth="1"/>
    <col min="7690" max="7936" width="9.140625" style="590"/>
    <col min="7937" max="7937" width="13" style="590" customWidth="1"/>
    <col min="7938" max="7938" width="9.140625" style="590"/>
    <col min="7939" max="7939" width="13" style="590" customWidth="1"/>
    <col min="7940" max="7940" width="29.7109375" style="590" customWidth="1"/>
    <col min="7941" max="7941" width="7.7109375" style="590" customWidth="1"/>
    <col min="7942" max="7942" width="6" style="590" customWidth="1"/>
    <col min="7943" max="7943" width="11.5703125" style="590" customWidth="1"/>
    <col min="7944" max="7944" width="13.42578125" style="590" customWidth="1"/>
    <col min="7945" max="7945" width="13.85546875" style="590" customWidth="1"/>
    <col min="7946" max="8192" width="9.140625" style="590"/>
    <col min="8193" max="8193" width="13" style="590" customWidth="1"/>
    <col min="8194" max="8194" width="9.140625" style="590"/>
    <col min="8195" max="8195" width="13" style="590" customWidth="1"/>
    <col min="8196" max="8196" width="29.7109375" style="590" customWidth="1"/>
    <col min="8197" max="8197" width="7.7109375" style="590" customWidth="1"/>
    <col min="8198" max="8198" width="6" style="590" customWidth="1"/>
    <col min="8199" max="8199" width="11.5703125" style="590" customWidth="1"/>
    <col min="8200" max="8200" width="13.42578125" style="590" customWidth="1"/>
    <col min="8201" max="8201" width="13.85546875" style="590" customWidth="1"/>
    <col min="8202" max="8448" width="9.140625" style="590"/>
    <col min="8449" max="8449" width="13" style="590" customWidth="1"/>
    <col min="8450" max="8450" width="9.140625" style="590"/>
    <col min="8451" max="8451" width="13" style="590" customWidth="1"/>
    <col min="8452" max="8452" width="29.7109375" style="590" customWidth="1"/>
    <col min="8453" max="8453" width="7.7109375" style="590" customWidth="1"/>
    <col min="8454" max="8454" width="6" style="590" customWidth="1"/>
    <col min="8455" max="8455" width="11.5703125" style="590" customWidth="1"/>
    <col min="8456" max="8456" width="13.42578125" style="590" customWidth="1"/>
    <col min="8457" max="8457" width="13.85546875" style="590" customWidth="1"/>
    <col min="8458" max="8704" width="9.140625" style="590"/>
    <col min="8705" max="8705" width="13" style="590" customWidth="1"/>
    <col min="8706" max="8706" width="9.140625" style="590"/>
    <col min="8707" max="8707" width="13" style="590" customWidth="1"/>
    <col min="8708" max="8708" width="29.7109375" style="590" customWidth="1"/>
    <col min="8709" max="8709" width="7.7109375" style="590" customWidth="1"/>
    <col min="8710" max="8710" width="6" style="590" customWidth="1"/>
    <col min="8711" max="8711" width="11.5703125" style="590" customWidth="1"/>
    <col min="8712" max="8712" width="13.42578125" style="590" customWidth="1"/>
    <col min="8713" max="8713" width="13.85546875" style="590" customWidth="1"/>
    <col min="8714" max="8960" width="9.140625" style="590"/>
    <col min="8961" max="8961" width="13" style="590" customWidth="1"/>
    <col min="8962" max="8962" width="9.140625" style="590"/>
    <col min="8963" max="8963" width="13" style="590" customWidth="1"/>
    <col min="8964" max="8964" width="29.7109375" style="590" customWidth="1"/>
    <col min="8965" max="8965" width="7.7109375" style="590" customWidth="1"/>
    <col min="8966" max="8966" width="6" style="590" customWidth="1"/>
    <col min="8967" max="8967" width="11.5703125" style="590" customWidth="1"/>
    <col min="8968" max="8968" width="13.42578125" style="590" customWidth="1"/>
    <col min="8969" max="8969" width="13.85546875" style="590" customWidth="1"/>
    <col min="8970" max="9216" width="9.140625" style="590"/>
    <col min="9217" max="9217" width="13" style="590" customWidth="1"/>
    <col min="9218" max="9218" width="9.140625" style="590"/>
    <col min="9219" max="9219" width="13" style="590" customWidth="1"/>
    <col min="9220" max="9220" width="29.7109375" style="590" customWidth="1"/>
    <col min="9221" max="9221" width="7.7109375" style="590" customWidth="1"/>
    <col min="9222" max="9222" width="6" style="590" customWidth="1"/>
    <col min="9223" max="9223" width="11.5703125" style="590" customWidth="1"/>
    <col min="9224" max="9224" width="13.42578125" style="590" customWidth="1"/>
    <col min="9225" max="9225" width="13.85546875" style="590" customWidth="1"/>
    <col min="9226" max="9472" width="9.140625" style="590"/>
    <col min="9473" max="9473" width="13" style="590" customWidth="1"/>
    <col min="9474" max="9474" width="9.140625" style="590"/>
    <col min="9475" max="9475" width="13" style="590" customWidth="1"/>
    <col min="9476" max="9476" width="29.7109375" style="590" customWidth="1"/>
    <col min="9477" max="9477" width="7.7109375" style="590" customWidth="1"/>
    <col min="9478" max="9478" width="6" style="590" customWidth="1"/>
    <col min="9479" max="9479" width="11.5703125" style="590" customWidth="1"/>
    <col min="9480" max="9480" width="13.42578125" style="590" customWidth="1"/>
    <col min="9481" max="9481" width="13.85546875" style="590" customWidth="1"/>
    <col min="9482" max="9728" width="9.140625" style="590"/>
    <col min="9729" max="9729" width="13" style="590" customWidth="1"/>
    <col min="9730" max="9730" width="9.140625" style="590"/>
    <col min="9731" max="9731" width="13" style="590" customWidth="1"/>
    <col min="9732" max="9732" width="29.7109375" style="590" customWidth="1"/>
    <col min="9733" max="9733" width="7.7109375" style="590" customWidth="1"/>
    <col min="9734" max="9734" width="6" style="590" customWidth="1"/>
    <col min="9735" max="9735" width="11.5703125" style="590" customWidth="1"/>
    <col min="9736" max="9736" width="13.42578125" style="590" customWidth="1"/>
    <col min="9737" max="9737" width="13.85546875" style="590" customWidth="1"/>
    <col min="9738" max="9984" width="9.140625" style="590"/>
    <col min="9985" max="9985" width="13" style="590" customWidth="1"/>
    <col min="9986" max="9986" width="9.140625" style="590"/>
    <col min="9987" max="9987" width="13" style="590" customWidth="1"/>
    <col min="9988" max="9988" width="29.7109375" style="590" customWidth="1"/>
    <col min="9989" max="9989" width="7.7109375" style="590" customWidth="1"/>
    <col min="9990" max="9990" width="6" style="590" customWidth="1"/>
    <col min="9991" max="9991" width="11.5703125" style="590" customWidth="1"/>
    <col min="9992" max="9992" width="13.42578125" style="590" customWidth="1"/>
    <col min="9993" max="9993" width="13.85546875" style="590" customWidth="1"/>
    <col min="9994" max="10240" width="9.140625" style="590"/>
    <col min="10241" max="10241" width="13" style="590" customWidth="1"/>
    <col min="10242" max="10242" width="9.140625" style="590"/>
    <col min="10243" max="10243" width="13" style="590" customWidth="1"/>
    <col min="10244" max="10244" width="29.7109375" style="590" customWidth="1"/>
    <col min="10245" max="10245" width="7.7109375" style="590" customWidth="1"/>
    <col min="10246" max="10246" width="6" style="590" customWidth="1"/>
    <col min="10247" max="10247" width="11.5703125" style="590" customWidth="1"/>
    <col min="10248" max="10248" width="13.42578125" style="590" customWidth="1"/>
    <col min="10249" max="10249" width="13.85546875" style="590" customWidth="1"/>
    <col min="10250" max="10496" width="9.140625" style="590"/>
    <col min="10497" max="10497" width="13" style="590" customWidth="1"/>
    <col min="10498" max="10498" width="9.140625" style="590"/>
    <col min="10499" max="10499" width="13" style="590" customWidth="1"/>
    <col min="10500" max="10500" width="29.7109375" style="590" customWidth="1"/>
    <col min="10501" max="10501" width="7.7109375" style="590" customWidth="1"/>
    <col min="10502" max="10502" width="6" style="590" customWidth="1"/>
    <col min="10503" max="10503" width="11.5703125" style="590" customWidth="1"/>
    <col min="10504" max="10504" width="13.42578125" style="590" customWidth="1"/>
    <col min="10505" max="10505" width="13.85546875" style="590" customWidth="1"/>
    <col min="10506" max="10752" width="9.140625" style="590"/>
    <col min="10753" max="10753" width="13" style="590" customWidth="1"/>
    <col min="10754" max="10754" width="9.140625" style="590"/>
    <col min="10755" max="10755" width="13" style="590" customWidth="1"/>
    <col min="10756" max="10756" width="29.7109375" style="590" customWidth="1"/>
    <col min="10757" max="10757" width="7.7109375" style="590" customWidth="1"/>
    <col min="10758" max="10758" width="6" style="590" customWidth="1"/>
    <col min="10759" max="10759" width="11.5703125" style="590" customWidth="1"/>
    <col min="10760" max="10760" width="13.42578125" style="590" customWidth="1"/>
    <col min="10761" max="10761" width="13.85546875" style="590" customWidth="1"/>
    <col min="10762" max="11008" width="9.140625" style="590"/>
    <col min="11009" max="11009" width="13" style="590" customWidth="1"/>
    <col min="11010" max="11010" width="9.140625" style="590"/>
    <col min="11011" max="11011" width="13" style="590" customWidth="1"/>
    <col min="11012" max="11012" width="29.7109375" style="590" customWidth="1"/>
    <col min="11013" max="11013" width="7.7109375" style="590" customWidth="1"/>
    <col min="11014" max="11014" width="6" style="590" customWidth="1"/>
    <col min="11015" max="11015" width="11.5703125" style="590" customWidth="1"/>
    <col min="11016" max="11016" width="13.42578125" style="590" customWidth="1"/>
    <col min="11017" max="11017" width="13.85546875" style="590" customWidth="1"/>
    <col min="11018" max="11264" width="9.140625" style="590"/>
    <col min="11265" max="11265" width="13" style="590" customWidth="1"/>
    <col min="11266" max="11266" width="9.140625" style="590"/>
    <col min="11267" max="11267" width="13" style="590" customWidth="1"/>
    <col min="11268" max="11268" width="29.7109375" style="590" customWidth="1"/>
    <col min="11269" max="11269" width="7.7109375" style="590" customWidth="1"/>
    <col min="11270" max="11270" width="6" style="590" customWidth="1"/>
    <col min="11271" max="11271" width="11.5703125" style="590" customWidth="1"/>
    <col min="11272" max="11272" width="13.42578125" style="590" customWidth="1"/>
    <col min="11273" max="11273" width="13.85546875" style="590" customWidth="1"/>
    <col min="11274" max="11520" width="9.140625" style="590"/>
    <col min="11521" max="11521" width="13" style="590" customWidth="1"/>
    <col min="11522" max="11522" width="9.140625" style="590"/>
    <col min="11523" max="11523" width="13" style="590" customWidth="1"/>
    <col min="11524" max="11524" width="29.7109375" style="590" customWidth="1"/>
    <col min="11525" max="11525" width="7.7109375" style="590" customWidth="1"/>
    <col min="11526" max="11526" width="6" style="590" customWidth="1"/>
    <col min="11527" max="11527" width="11.5703125" style="590" customWidth="1"/>
    <col min="11528" max="11528" width="13.42578125" style="590" customWidth="1"/>
    <col min="11529" max="11529" width="13.85546875" style="590" customWidth="1"/>
    <col min="11530" max="11776" width="9.140625" style="590"/>
    <col min="11777" max="11777" width="13" style="590" customWidth="1"/>
    <col min="11778" max="11778" width="9.140625" style="590"/>
    <col min="11779" max="11779" width="13" style="590" customWidth="1"/>
    <col min="11780" max="11780" width="29.7109375" style="590" customWidth="1"/>
    <col min="11781" max="11781" width="7.7109375" style="590" customWidth="1"/>
    <col min="11782" max="11782" width="6" style="590" customWidth="1"/>
    <col min="11783" max="11783" width="11.5703125" style="590" customWidth="1"/>
    <col min="11784" max="11784" width="13.42578125" style="590" customWidth="1"/>
    <col min="11785" max="11785" width="13.85546875" style="590" customWidth="1"/>
    <col min="11786" max="12032" width="9.140625" style="590"/>
    <col min="12033" max="12033" width="13" style="590" customWidth="1"/>
    <col min="12034" max="12034" width="9.140625" style="590"/>
    <col min="12035" max="12035" width="13" style="590" customWidth="1"/>
    <col min="12036" max="12036" width="29.7109375" style="590" customWidth="1"/>
    <col min="12037" max="12037" width="7.7109375" style="590" customWidth="1"/>
    <col min="12038" max="12038" width="6" style="590" customWidth="1"/>
    <col min="12039" max="12039" width="11.5703125" style="590" customWidth="1"/>
    <col min="12040" max="12040" width="13.42578125" style="590" customWidth="1"/>
    <col min="12041" max="12041" width="13.85546875" style="590" customWidth="1"/>
    <col min="12042" max="12288" width="9.140625" style="590"/>
    <col min="12289" max="12289" width="13" style="590" customWidth="1"/>
    <col min="12290" max="12290" width="9.140625" style="590"/>
    <col min="12291" max="12291" width="13" style="590" customWidth="1"/>
    <col min="12292" max="12292" width="29.7109375" style="590" customWidth="1"/>
    <col min="12293" max="12293" width="7.7109375" style="590" customWidth="1"/>
    <col min="12294" max="12294" width="6" style="590" customWidth="1"/>
    <col min="12295" max="12295" width="11.5703125" style="590" customWidth="1"/>
    <col min="12296" max="12296" width="13.42578125" style="590" customWidth="1"/>
    <col min="12297" max="12297" width="13.85546875" style="590" customWidth="1"/>
    <col min="12298" max="12544" width="9.140625" style="590"/>
    <col min="12545" max="12545" width="13" style="590" customWidth="1"/>
    <col min="12546" max="12546" width="9.140625" style="590"/>
    <col min="12547" max="12547" width="13" style="590" customWidth="1"/>
    <col min="12548" max="12548" width="29.7109375" style="590" customWidth="1"/>
    <col min="12549" max="12549" width="7.7109375" style="590" customWidth="1"/>
    <col min="12550" max="12550" width="6" style="590" customWidth="1"/>
    <col min="12551" max="12551" width="11.5703125" style="590" customWidth="1"/>
    <col min="12552" max="12552" width="13.42578125" style="590" customWidth="1"/>
    <col min="12553" max="12553" width="13.85546875" style="590" customWidth="1"/>
    <col min="12554" max="12800" width="9.140625" style="590"/>
    <col min="12801" max="12801" width="13" style="590" customWidth="1"/>
    <col min="12802" max="12802" width="9.140625" style="590"/>
    <col min="12803" max="12803" width="13" style="590" customWidth="1"/>
    <col min="12804" max="12804" width="29.7109375" style="590" customWidth="1"/>
    <col min="12805" max="12805" width="7.7109375" style="590" customWidth="1"/>
    <col min="12806" max="12806" width="6" style="590" customWidth="1"/>
    <col min="12807" max="12807" width="11.5703125" style="590" customWidth="1"/>
    <col min="12808" max="12808" width="13.42578125" style="590" customWidth="1"/>
    <col min="12809" max="12809" width="13.85546875" style="590" customWidth="1"/>
    <col min="12810" max="13056" width="9.140625" style="590"/>
    <col min="13057" max="13057" width="13" style="590" customWidth="1"/>
    <col min="13058" max="13058" width="9.140625" style="590"/>
    <col min="13059" max="13059" width="13" style="590" customWidth="1"/>
    <col min="13060" max="13060" width="29.7109375" style="590" customWidth="1"/>
    <col min="13061" max="13061" width="7.7109375" style="590" customWidth="1"/>
    <col min="13062" max="13062" width="6" style="590" customWidth="1"/>
    <col min="13063" max="13063" width="11.5703125" style="590" customWidth="1"/>
    <col min="13064" max="13064" width="13.42578125" style="590" customWidth="1"/>
    <col min="13065" max="13065" width="13.85546875" style="590" customWidth="1"/>
    <col min="13066" max="13312" width="9.140625" style="590"/>
    <col min="13313" max="13313" width="13" style="590" customWidth="1"/>
    <col min="13314" max="13314" width="9.140625" style="590"/>
    <col min="13315" max="13315" width="13" style="590" customWidth="1"/>
    <col min="13316" max="13316" width="29.7109375" style="590" customWidth="1"/>
    <col min="13317" max="13317" width="7.7109375" style="590" customWidth="1"/>
    <col min="13318" max="13318" width="6" style="590" customWidth="1"/>
    <col min="13319" max="13319" width="11.5703125" style="590" customWidth="1"/>
    <col min="13320" max="13320" width="13.42578125" style="590" customWidth="1"/>
    <col min="13321" max="13321" width="13.85546875" style="590" customWidth="1"/>
    <col min="13322" max="13568" width="9.140625" style="590"/>
    <col min="13569" max="13569" width="13" style="590" customWidth="1"/>
    <col min="13570" max="13570" width="9.140625" style="590"/>
    <col min="13571" max="13571" width="13" style="590" customWidth="1"/>
    <col min="13572" max="13572" width="29.7109375" style="590" customWidth="1"/>
    <col min="13573" max="13573" width="7.7109375" style="590" customWidth="1"/>
    <col min="13574" max="13574" width="6" style="590" customWidth="1"/>
    <col min="13575" max="13575" width="11.5703125" style="590" customWidth="1"/>
    <col min="13576" max="13576" width="13.42578125" style="590" customWidth="1"/>
    <col min="13577" max="13577" width="13.85546875" style="590" customWidth="1"/>
    <col min="13578" max="13824" width="9.140625" style="590"/>
    <col min="13825" max="13825" width="13" style="590" customWidth="1"/>
    <col min="13826" max="13826" width="9.140625" style="590"/>
    <col min="13827" max="13827" width="13" style="590" customWidth="1"/>
    <col min="13828" max="13828" width="29.7109375" style="590" customWidth="1"/>
    <col min="13829" max="13829" width="7.7109375" style="590" customWidth="1"/>
    <col min="13830" max="13830" width="6" style="590" customWidth="1"/>
    <col min="13831" max="13831" width="11.5703125" style="590" customWidth="1"/>
    <col min="13832" max="13832" width="13.42578125" style="590" customWidth="1"/>
    <col min="13833" max="13833" width="13.85546875" style="590" customWidth="1"/>
    <col min="13834" max="14080" width="9.140625" style="590"/>
    <col min="14081" max="14081" width="13" style="590" customWidth="1"/>
    <col min="14082" max="14082" width="9.140625" style="590"/>
    <col min="14083" max="14083" width="13" style="590" customWidth="1"/>
    <col min="14084" max="14084" width="29.7109375" style="590" customWidth="1"/>
    <col min="14085" max="14085" width="7.7109375" style="590" customWidth="1"/>
    <col min="14086" max="14086" width="6" style="590" customWidth="1"/>
    <col min="14087" max="14087" width="11.5703125" style="590" customWidth="1"/>
    <col min="14088" max="14088" width="13.42578125" style="590" customWidth="1"/>
    <col min="14089" max="14089" width="13.85546875" style="590" customWidth="1"/>
    <col min="14090" max="14336" width="9.140625" style="590"/>
    <col min="14337" max="14337" width="13" style="590" customWidth="1"/>
    <col min="14338" max="14338" width="9.140625" style="590"/>
    <col min="14339" max="14339" width="13" style="590" customWidth="1"/>
    <col min="14340" max="14340" width="29.7109375" style="590" customWidth="1"/>
    <col min="14341" max="14341" width="7.7109375" style="590" customWidth="1"/>
    <col min="14342" max="14342" width="6" style="590" customWidth="1"/>
    <col min="14343" max="14343" width="11.5703125" style="590" customWidth="1"/>
    <col min="14344" max="14344" width="13.42578125" style="590" customWidth="1"/>
    <col min="14345" max="14345" width="13.85546875" style="590" customWidth="1"/>
    <col min="14346" max="14592" width="9.140625" style="590"/>
    <col min="14593" max="14593" width="13" style="590" customWidth="1"/>
    <col min="14594" max="14594" width="9.140625" style="590"/>
    <col min="14595" max="14595" width="13" style="590" customWidth="1"/>
    <col min="14596" max="14596" width="29.7109375" style="590" customWidth="1"/>
    <col min="14597" max="14597" width="7.7109375" style="590" customWidth="1"/>
    <col min="14598" max="14598" width="6" style="590" customWidth="1"/>
    <col min="14599" max="14599" width="11.5703125" style="590" customWidth="1"/>
    <col min="14600" max="14600" width="13.42578125" style="590" customWidth="1"/>
    <col min="14601" max="14601" width="13.85546875" style="590" customWidth="1"/>
    <col min="14602" max="14848" width="9.140625" style="590"/>
    <col min="14849" max="14849" width="13" style="590" customWidth="1"/>
    <col min="14850" max="14850" width="9.140625" style="590"/>
    <col min="14851" max="14851" width="13" style="590" customWidth="1"/>
    <col min="14852" max="14852" width="29.7109375" style="590" customWidth="1"/>
    <col min="14853" max="14853" width="7.7109375" style="590" customWidth="1"/>
    <col min="14854" max="14854" width="6" style="590" customWidth="1"/>
    <col min="14855" max="14855" width="11.5703125" style="590" customWidth="1"/>
    <col min="14856" max="14856" width="13.42578125" style="590" customWidth="1"/>
    <col min="14857" max="14857" width="13.85546875" style="590" customWidth="1"/>
    <col min="14858" max="15104" width="9.140625" style="590"/>
    <col min="15105" max="15105" width="13" style="590" customWidth="1"/>
    <col min="15106" max="15106" width="9.140625" style="590"/>
    <col min="15107" max="15107" width="13" style="590" customWidth="1"/>
    <col min="15108" max="15108" width="29.7109375" style="590" customWidth="1"/>
    <col min="15109" max="15109" width="7.7109375" style="590" customWidth="1"/>
    <col min="15110" max="15110" width="6" style="590" customWidth="1"/>
    <col min="15111" max="15111" width="11.5703125" style="590" customWidth="1"/>
    <col min="15112" max="15112" width="13.42578125" style="590" customWidth="1"/>
    <col min="15113" max="15113" width="13.85546875" style="590" customWidth="1"/>
    <col min="15114" max="15360" width="9.140625" style="590"/>
    <col min="15361" max="15361" width="13" style="590" customWidth="1"/>
    <col min="15362" max="15362" width="9.140625" style="590"/>
    <col min="15363" max="15363" width="13" style="590" customWidth="1"/>
    <col min="15364" max="15364" width="29.7109375" style="590" customWidth="1"/>
    <col min="15365" max="15365" width="7.7109375" style="590" customWidth="1"/>
    <col min="15366" max="15366" width="6" style="590" customWidth="1"/>
    <col min="15367" max="15367" width="11.5703125" style="590" customWidth="1"/>
    <col min="15368" max="15368" width="13.42578125" style="590" customWidth="1"/>
    <col min="15369" max="15369" width="13.85546875" style="590" customWidth="1"/>
    <col min="15370" max="15616" width="9.140625" style="590"/>
    <col min="15617" max="15617" width="13" style="590" customWidth="1"/>
    <col min="15618" max="15618" width="9.140625" style="590"/>
    <col min="15619" max="15619" width="13" style="590" customWidth="1"/>
    <col min="15620" max="15620" width="29.7109375" style="590" customWidth="1"/>
    <col min="15621" max="15621" width="7.7109375" style="590" customWidth="1"/>
    <col min="15622" max="15622" width="6" style="590" customWidth="1"/>
    <col min="15623" max="15623" width="11.5703125" style="590" customWidth="1"/>
    <col min="15624" max="15624" width="13.42578125" style="590" customWidth="1"/>
    <col min="15625" max="15625" width="13.85546875" style="590" customWidth="1"/>
    <col min="15626" max="15872" width="9.140625" style="590"/>
    <col min="15873" max="15873" width="13" style="590" customWidth="1"/>
    <col min="15874" max="15874" width="9.140625" style="590"/>
    <col min="15875" max="15875" width="13" style="590" customWidth="1"/>
    <col min="15876" max="15876" width="29.7109375" style="590" customWidth="1"/>
    <col min="15877" max="15877" width="7.7109375" style="590" customWidth="1"/>
    <col min="15878" max="15878" width="6" style="590" customWidth="1"/>
    <col min="15879" max="15879" width="11.5703125" style="590" customWidth="1"/>
    <col min="15880" max="15880" width="13.42578125" style="590" customWidth="1"/>
    <col min="15881" max="15881" width="13.85546875" style="590" customWidth="1"/>
    <col min="15882" max="16128" width="9.140625" style="590"/>
    <col min="16129" max="16129" width="13" style="590" customWidth="1"/>
    <col min="16130" max="16130" width="9.140625" style="590"/>
    <col min="16131" max="16131" width="13" style="590" customWidth="1"/>
    <col min="16132" max="16132" width="29.7109375" style="590" customWidth="1"/>
    <col min="16133" max="16133" width="7.7109375" style="590" customWidth="1"/>
    <col min="16134" max="16134" width="6" style="590" customWidth="1"/>
    <col min="16135" max="16135" width="11.5703125" style="590" customWidth="1"/>
    <col min="16136" max="16136" width="13.42578125" style="590" customWidth="1"/>
    <col min="16137" max="16137" width="13.85546875" style="590" customWidth="1"/>
    <col min="16138" max="16384" width="9.140625" style="590"/>
  </cols>
  <sheetData>
    <row r="1" spans="1:14">
      <c r="A1" s="589" t="str">
        <f>TH!A1</f>
        <v>Đơn vị: CÔNG TY TNHH SX TM KIM DUNG PHÁT</v>
      </c>
      <c r="F1" s="991" t="s">
        <v>335</v>
      </c>
      <c r="G1" s="991"/>
      <c r="H1" s="991"/>
      <c r="I1" s="991"/>
    </row>
    <row r="2" spans="1:14">
      <c r="A2" s="590" t="str">
        <f>TH!A2</f>
        <v>Địa chỉ: 1A227/1 Ấp 1, Phạm Văn Hai, Bình Chánh, TPHCM</v>
      </c>
      <c r="F2" s="99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0"/>
      <c r="H2" s="990"/>
      <c r="I2" s="990"/>
    </row>
    <row r="3" spans="1:14">
      <c r="F3" s="990"/>
      <c r="G3" s="990"/>
      <c r="H3" s="990"/>
      <c r="I3" s="990"/>
    </row>
    <row r="4" spans="1:14">
      <c r="H4" s="591"/>
      <c r="I4" s="591"/>
    </row>
    <row r="5" spans="1:14" ht="26.25" customHeight="1">
      <c r="B5" s="592"/>
      <c r="C5" s="592"/>
      <c r="D5" s="593" t="s">
        <v>336</v>
      </c>
      <c r="E5" s="592"/>
      <c r="F5" s="592"/>
      <c r="G5" s="592"/>
      <c r="H5" s="592"/>
      <c r="I5" s="592"/>
      <c r="J5" s="592"/>
      <c r="K5" s="592"/>
    </row>
    <row r="6" spans="1:14">
      <c r="B6" s="594"/>
      <c r="C6" s="594"/>
      <c r="D6" s="595" t="str">
        <f ca="1">$K$9&amp;"   -   Năm:  " &amp;YEAR(A11)</f>
        <v>Quý III   -   Năm:  2014</v>
      </c>
      <c r="E6" s="594"/>
      <c r="F6" s="594"/>
      <c r="G6" s="594"/>
      <c r="H6" s="594"/>
      <c r="I6" s="594"/>
      <c r="J6" s="594"/>
      <c r="K6" s="594"/>
    </row>
    <row r="7" spans="1:14">
      <c r="A7" s="596"/>
      <c r="B7" s="596"/>
      <c r="C7" s="596"/>
      <c r="D7" s="596"/>
      <c r="E7" s="596"/>
      <c r="F7" s="596"/>
      <c r="G7" s="596"/>
      <c r="H7" s="994" t="s">
        <v>123</v>
      </c>
      <c r="I7" s="994"/>
      <c r="J7" s="596"/>
      <c r="K7" s="596"/>
      <c r="M7" s="993" t="s">
        <v>325</v>
      </c>
      <c r="N7" s="993"/>
    </row>
    <row r="8" spans="1:14" s="791" customFormat="1" ht="23.25" customHeight="1" thickBot="1">
      <c r="A8" s="984" t="s">
        <v>337</v>
      </c>
      <c r="B8" s="986" t="s">
        <v>1</v>
      </c>
      <c r="C8" s="987"/>
      <c r="D8" s="988" t="s">
        <v>0</v>
      </c>
      <c r="E8" s="984" t="s">
        <v>338</v>
      </c>
      <c r="F8" s="992" t="s">
        <v>94</v>
      </c>
      <c r="G8" s="992"/>
      <c r="H8" s="986" t="s">
        <v>21</v>
      </c>
      <c r="I8" s="987"/>
      <c r="J8" s="790"/>
      <c r="K8" s="790"/>
      <c r="M8" s="792">
        <f>IF(K9="Quý I",1,IF(K9="Quý II",4,IF(K9="Quý III",7,IF(K9="Quý IV",10,""))))</f>
        <v>7</v>
      </c>
      <c r="N8" s="792">
        <f>IF(K9="Quý I",3,IF(K9="Quý II",6,IF(K9="Quý III",9,IF(K9="Quý IV",12,""))))</f>
        <v>9</v>
      </c>
    </row>
    <row r="9" spans="1:14" s="791" customFormat="1" ht="28.5" customHeight="1" thickBot="1">
      <c r="A9" s="985"/>
      <c r="B9" s="793" t="s">
        <v>15</v>
      </c>
      <c r="C9" s="793" t="s">
        <v>32</v>
      </c>
      <c r="D9" s="989"/>
      <c r="E9" s="985"/>
      <c r="F9" s="794" t="s">
        <v>22</v>
      </c>
      <c r="G9" s="794" t="s">
        <v>23</v>
      </c>
      <c r="H9" s="793" t="s">
        <v>339</v>
      </c>
      <c r="I9" s="793" t="s">
        <v>23</v>
      </c>
      <c r="K9" s="692" t="s">
        <v>405</v>
      </c>
    </row>
    <row r="10" spans="1:14" s="791" customFormat="1" ht="21" customHeight="1">
      <c r="A10" s="795"/>
      <c r="B10" s="795"/>
      <c r="C10" s="795"/>
      <c r="D10" s="796" t="s">
        <v>342</v>
      </c>
      <c r="E10" s="797"/>
      <c r="F10" s="795"/>
      <c r="G10" s="795"/>
      <c r="H10" s="798">
        <f>SUMIF(_M,"&lt;"&amp;$M$8,TH)</f>
        <v>7177621775</v>
      </c>
      <c r="I10" s="798">
        <f>SUMIF(_M,"&lt;"&amp;$M$8,TH)</f>
        <v>7177621775</v>
      </c>
    </row>
    <row r="11" spans="1:14" s="791" customFormat="1" ht="21" customHeight="1">
      <c r="A11" s="799">
        <f ca="1">IF(ROWS($1:1)&gt;COUNT(Dong6),"",OFFSET(TH!C$1,SMALL(Dong6,ROWS($1:1)),))</f>
        <v>41821</v>
      </c>
      <c r="B11" s="800" t="str">
        <f ca="1">IF(ROWS($1:1)&gt;COUNT(Dong6),"",OFFSET(TH!D$1,SMALL(Dong6,ROWS($1:1)),))</f>
        <v>CTGS</v>
      </c>
      <c r="C11" s="799">
        <f ca="1">IF(ROWS($1:1)&gt;COUNT(Dong6),"",OFFSET(TH!E$1,SMALL(Dong6,ROWS($1:1)),))</f>
        <v>41821</v>
      </c>
      <c r="D11" s="801" t="str">
        <f ca="1">IF(ROWS($1:1)&gt;COUNT(Dong6),"",OFFSET(TH!F$1,SMALL(Dong6,ROWS($1:1)),))</f>
        <v>Trích khấu hao TSCĐ Hữu hình</v>
      </c>
      <c r="E11" s="800">
        <f t="shared" ref="E11:E40" ca="1" si="0">IF(D11&lt;&gt;"",ROW()-10,"")</f>
        <v>1</v>
      </c>
      <c r="F11" s="802" t="str">
        <f ca="1">IF(ROWS($1:1)&gt;COUNT(Dong6),"",OFFSET(TH!L$1,SMALL(Dong6,ROWS($1:1)),))</f>
        <v>154</v>
      </c>
      <c r="G11" s="802" t="str">
        <f ca="1">IF(ROWS($1:1)&gt;COUNT(Dong6),"",OFFSET(TH!M$1,SMALL(Dong6,ROWS($1:1)),))</f>
        <v>2141</v>
      </c>
      <c r="H11" s="677">
        <f ca="1">IF(ROWS($1:1)&gt;COUNT(Dong6),"",OFFSET(TH!K$1,SMALL(Dong6,ROWS($1:1)),))</f>
        <v>30750000</v>
      </c>
      <c r="I11" s="677">
        <f ca="1">IF(ROWS($1:1)&gt;COUNT(Dong6),"",OFFSET(TH!K$1,SMALL(Dong6,ROWS($1:1)),))</f>
        <v>30750000</v>
      </c>
    </row>
    <row r="12" spans="1:14" s="791" customFormat="1" ht="21" customHeight="1">
      <c r="A12" s="799">
        <f ca="1">IF(ROWS($1:2)&gt;COUNT(Dong6),"",OFFSET(TH!C$1,SMALL(Dong6,ROWS($1:2)),))</f>
        <v>41851</v>
      </c>
      <c r="B12" s="800" t="str">
        <f ca="1">IF(ROWS($1:2)&gt;COUNT(Dong6),"",OFFSET(TH!D$1,SMALL(Dong6,ROWS($1:2)),))</f>
        <v>CTGS</v>
      </c>
      <c r="C12" s="799">
        <f ca="1">IF(ROWS($1:2)&gt;COUNT(Dong6),"",OFFSET(TH!E$1,SMALL(Dong6,ROWS($1:2)),))</f>
        <v>41851</v>
      </c>
      <c r="D12" s="801" t="str">
        <f ca="1">IF(ROWS($1:2)&gt;COUNT(Dong6),"",OFFSET(TH!F$1,SMALL(Dong6,ROWS($1:2)),))</f>
        <v>Tiền lương BP Văn phòng</v>
      </c>
      <c r="E12" s="800">
        <f t="shared" ca="1" si="0"/>
        <v>2</v>
      </c>
      <c r="F12" s="802" t="str">
        <f ca="1">IF(ROWS($1:2)&gt;COUNT(Dong6),"",OFFSET(TH!L$1,SMALL(Dong6,ROWS($1:2)),))</f>
        <v>642</v>
      </c>
      <c r="G12" s="802" t="str">
        <f ca="1">IF(ROWS($1:2)&gt;COUNT(Dong6),"",OFFSET(TH!M$1,SMALL(Dong6,ROWS($1:2)),))</f>
        <v>3341</v>
      </c>
      <c r="H12" s="677">
        <f ca="1">IF(ROWS($1:2)&gt;COUNT(Dong6),"",OFFSET(TH!K$1,SMALL(Dong6,ROWS($1:2)),))</f>
        <v>15215000</v>
      </c>
      <c r="I12" s="677">
        <f ca="1">IF(ROWS($1:2)&gt;COUNT(Dong6),"",OFFSET(TH!K$1,SMALL(Dong6,ROWS($1:2)),))</f>
        <v>15215000</v>
      </c>
    </row>
    <row r="13" spans="1:14" s="791" customFormat="1" ht="21" customHeight="1">
      <c r="A13" s="799">
        <f ca="1">IF(ROWS($1:3)&gt;COUNT(Dong6),"",OFFSET(TH!C$1,SMALL(Dong6,ROWS($1:3)),))</f>
        <v>41851</v>
      </c>
      <c r="B13" s="800" t="str">
        <f ca="1">IF(ROWS($1:3)&gt;COUNT(Dong6),"",OFFSET(TH!D$1,SMALL(Dong6,ROWS($1:3)),))</f>
        <v>CTGS</v>
      </c>
      <c r="C13" s="799">
        <f ca="1">IF(ROWS($1:3)&gt;COUNT(Dong6),"",OFFSET(TH!E$1,SMALL(Dong6,ROWS($1:3)),))</f>
        <v>41851</v>
      </c>
      <c r="D13" s="801" t="str">
        <f ca="1">IF(ROWS($1:3)&gt;COUNT(Dong6),"",OFFSET(TH!F$1,SMALL(Dong6,ROWS($1:3)),))</f>
        <v>Tiền lương BP Phân Xưởng &amp; CN</v>
      </c>
      <c r="E13" s="800">
        <f t="shared" ca="1" si="0"/>
        <v>3</v>
      </c>
      <c r="F13" s="802" t="str">
        <f ca="1">IF(ROWS($1:3)&gt;COUNT(Dong6),"",OFFSET(TH!L$1,SMALL(Dong6,ROWS($1:3)),))</f>
        <v>154</v>
      </c>
      <c r="G13" s="802" t="str">
        <f ca="1">IF(ROWS($1:3)&gt;COUNT(Dong6),"",OFFSET(TH!M$1,SMALL(Dong6,ROWS($1:3)),))</f>
        <v>3341</v>
      </c>
      <c r="H13" s="677">
        <f ca="1">IF(ROWS($1:3)&gt;COUNT(Dong6),"",OFFSET(TH!K$1,SMALL(Dong6,ROWS($1:3)),))</f>
        <v>31135000</v>
      </c>
      <c r="I13" s="677">
        <f ca="1">IF(ROWS($1:3)&gt;COUNT(Dong6),"",OFFSET(TH!K$1,SMALL(Dong6,ROWS($1:3)),))</f>
        <v>31135000</v>
      </c>
    </row>
    <row r="14" spans="1:14" s="791" customFormat="1" ht="21" customHeight="1">
      <c r="A14" s="799">
        <f ca="1">IF(ROWS($1:4)&gt;COUNT(Dong6),"",OFFSET(TH!C$1,SMALL(Dong6,ROWS($1:4)),))</f>
        <v>41851</v>
      </c>
      <c r="B14" s="800" t="str">
        <f ca="1">IF(ROWS($1:4)&gt;COUNT(Dong6),"",OFFSET(TH!D$1,SMALL(Dong6,ROWS($1:4)),))</f>
        <v>CTGS</v>
      </c>
      <c r="C14" s="799">
        <f ca="1">IF(ROWS($1:4)&gt;COUNT(Dong6),"",OFFSET(TH!E$1,SMALL(Dong6,ROWS($1:4)),))</f>
        <v>41851</v>
      </c>
      <c r="D14" s="801" t="str">
        <f ca="1">IF(ROWS($1:4)&gt;COUNT(Dong6),"",OFFSET(TH!F$1,SMALL(Dong6,ROWS($1:4)),))</f>
        <v>Thanh toán tiền lương tháng 7/2014</v>
      </c>
      <c r="E14" s="800">
        <f t="shared" ca="1" si="0"/>
        <v>4</v>
      </c>
      <c r="F14" s="802" t="str">
        <f ca="1">IF(ROWS($1:4)&gt;COUNT(Dong6),"",OFFSET(TH!L$1,SMALL(Dong6,ROWS($1:4)),))</f>
        <v>3341</v>
      </c>
      <c r="G14" s="802" t="str">
        <f ca="1">IF(ROWS($1:4)&gt;COUNT(Dong6),"",OFFSET(TH!M$1,SMALL(Dong6,ROWS($1:4)),))</f>
        <v>1111</v>
      </c>
      <c r="H14" s="677">
        <f ca="1">IF(ROWS($1:4)&gt;COUNT(Dong6),"",OFFSET(TH!K$1,SMALL(Dong6,ROWS($1:4)),))</f>
        <v>46350000</v>
      </c>
      <c r="I14" s="677">
        <f ca="1">IF(ROWS($1:4)&gt;COUNT(Dong6),"",OFFSET(TH!K$1,SMALL(Dong6,ROWS($1:4)),))</f>
        <v>46350000</v>
      </c>
    </row>
    <row r="15" spans="1:14" s="791" customFormat="1" ht="21" customHeight="1">
      <c r="A15" s="799">
        <f ca="1">IF(ROWS($1:5)&gt;COUNT(Dong6),"",OFFSET(TH!C$1,SMALL(Dong6,ROWS($1:5)),))</f>
        <v>41882</v>
      </c>
      <c r="B15" s="800" t="str">
        <f ca="1">IF(ROWS($1:5)&gt;COUNT(Dong6),"",OFFSET(TH!D$1,SMALL(Dong6,ROWS($1:5)),))</f>
        <v>CTGS</v>
      </c>
      <c r="C15" s="799">
        <f ca="1">IF(ROWS($1:5)&gt;COUNT(Dong6),"",OFFSET(TH!E$1,SMALL(Dong6,ROWS($1:5)),))</f>
        <v>41882</v>
      </c>
      <c r="D15" s="801" t="str">
        <f ca="1">IF(ROWS($1:5)&gt;COUNT(Dong6),"",OFFSET(TH!F$1,SMALL(Dong6,ROWS($1:5)),))</f>
        <v>Tiền lương BP Văn phòng</v>
      </c>
      <c r="E15" s="800">
        <f t="shared" ca="1" si="0"/>
        <v>5</v>
      </c>
      <c r="F15" s="802" t="str">
        <f ca="1">IF(ROWS($1:5)&gt;COUNT(Dong6),"",OFFSET(TH!L$1,SMALL(Dong6,ROWS($1:5)),))</f>
        <v>642</v>
      </c>
      <c r="G15" s="802" t="str">
        <f ca="1">IF(ROWS($1:5)&gt;COUNT(Dong6),"",OFFSET(TH!M$1,SMALL(Dong6,ROWS($1:5)),))</f>
        <v>3341</v>
      </c>
      <c r="H15" s="677">
        <f ca="1">IF(ROWS($1:5)&gt;COUNT(Dong6),"",OFFSET(TH!K$1,SMALL(Dong6,ROWS($1:5)),))</f>
        <v>15170000</v>
      </c>
      <c r="I15" s="677">
        <f ca="1">IF(ROWS($1:5)&gt;COUNT(Dong6),"",OFFSET(TH!K$1,SMALL(Dong6,ROWS($1:5)),))</f>
        <v>15170000</v>
      </c>
    </row>
    <row r="16" spans="1:14" s="791" customFormat="1" ht="21" customHeight="1">
      <c r="A16" s="799">
        <f ca="1">IF(ROWS($1:6)&gt;COUNT(Dong6),"",OFFSET(TH!C$1,SMALL(Dong6,ROWS($1:6)),))</f>
        <v>41882</v>
      </c>
      <c r="B16" s="800" t="str">
        <f ca="1">IF(ROWS($1:6)&gt;COUNT(Dong6),"",OFFSET(TH!D$1,SMALL(Dong6,ROWS($1:6)),))</f>
        <v>CTGS</v>
      </c>
      <c r="C16" s="799">
        <f ca="1">IF(ROWS($1:6)&gt;COUNT(Dong6),"",OFFSET(TH!E$1,SMALL(Dong6,ROWS($1:6)),))</f>
        <v>41882</v>
      </c>
      <c r="D16" s="801" t="str">
        <f ca="1">IF(ROWS($1:6)&gt;COUNT(Dong6),"",OFFSET(TH!F$1,SMALL(Dong6,ROWS($1:6)),))</f>
        <v>Tiền lương BP Phân Xưởng &amp; CN</v>
      </c>
      <c r="E16" s="800">
        <f t="shared" ca="1" si="0"/>
        <v>6</v>
      </c>
      <c r="F16" s="802" t="str">
        <f ca="1">IF(ROWS($1:6)&gt;COUNT(Dong6),"",OFFSET(TH!L$1,SMALL(Dong6,ROWS($1:6)),))</f>
        <v>154</v>
      </c>
      <c r="G16" s="802" t="str">
        <f ca="1">IF(ROWS($1:6)&gt;COUNT(Dong6),"",OFFSET(TH!M$1,SMALL(Dong6,ROWS($1:6)),))</f>
        <v>3341</v>
      </c>
      <c r="H16" s="677">
        <f ca="1">IF(ROWS($1:6)&gt;COUNT(Dong6),"",OFFSET(TH!K$1,SMALL(Dong6,ROWS($1:6)),))</f>
        <v>31030000</v>
      </c>
      <c r="I16" s="677">
        <f ca="1">IF(ROWS($1:6)&gt;COUNT(Dong6),"",OFFSET(TH!K$1,SMALL(Dong6,ROWS($1:6)),))</f>
        <v>31030000</v>
      </c>
    </row>
    <row r="17" spans="1:9" s="791" customFormat="1" ht="21" customHeight="1">
      <c r="A17" s="799">
        <f ca="1">IF(ROWS($1:7)&gt;COUNT(Dong6),"",OFFSET(TH!C$1,SMALL(Dong6,ROWS($1:7)),))</f>
        <v>41882</v>
      </c>
      <c r="B17" s="800" t="str">
        <f ca="1">IF(ROWS($1:7)&gt;COUNT(Dong6),"",OFFSET(TH!D$1,SMALL(Dong6,ROWS($1:7)),))</f>
        <v>CTGS</v>
      </c>
      <c r="C17" s="799">
        <f ca="1">IF(ROWS($1:7)&gt;COUNT(Dong6),"",OFFSET(TH!E$1,SMALL(Dong6,ROWS($1:7)),))</f>
        <v>41882</v>
      </c>
      <c r="D17" s="801" t="str">
        <f ca="1">IF(ROWS($1:7)&gt;COUNT(Dong6),"",OFFSET(TH!F$1,SMALL(Dong6,ROWS($1:7)),))</f>
        <v>Thanh toán tiền lương tháng 8/2014</v>
      </c>
      <c r="E17" s="800">
        <f t="shared" ca="1" si="0"/>
        <v>7</v>
      </c>
      <c r="F17" s="802" t="str">
        <f ca="1">IF(ROWS($1:7)&gt;COUNT(Dong6),"",OFFSET(TH!L$1,SMALL(Dong6,ROWS($1:7)),))</f>
        <v>3341</v>
      </c>
      <c r="G17" s="802" t="str">
        <f ca="1">IF(ROWS($1:7)&gt;COUNT(Dong6),"",OFFSET(TH!M$1,SMALL(Dong6,ROWS($1:7)),))</f>
        <v>1111</v>
      </c>
      <c r="H17" s="677">
        <f ca="1">IF(ROWS($1:7)&gt;COUNT(Dong6),"",OFFSET(TH!K$1,SMALL(Dong6,ROWS($1:7)),))</f>
        <v>46200000</v>
      </c>
      <c r="I17" s="677">
        <f ca="1">IF(ROWS($1:7)&gt;COUNT(Dong6),"",OFFSET(TH!K$1,SMALL(Dong6,ROWS($1:7)),))</f>
        <v>46200000</v>
      </c>
    </row>
    <row r="18" spans="1:9" s="791" customFormat="1" ht="21" customHeight="1">
      <c r="A18" s="799">
        <f ca="1">IF(ROWS($1:8)&gt;COUNT(Dong6),"",OFFSET(TH!C$1,SMALL(Dong6,ROWS($1:8)),))</f>
        <v>41912</v>
      </c>
      <c r="B18" s="800" t="str">
        <f ca="1">IF(ROWS($1:8)&gt;COUNT(Dong6),"",OFFSET(TH!D$1,SMALL(Dong6,ROWS($1:8)),))</f>
        <v>CTGS</v>
      </c>
      <c r="C18" s="799">
        <f ca="1">IF(ROWS($1:8)&gt;COUNT(Dong6),"",OFFSET(TH!E$1,SMALL(Dong6,ROWS($1:8)),))</f>
        <v>41912</v>
      </c>
      <c r="D18" s="801" t="str">
        <f ca="1">IF(ROWS($1:8)&gt;COUNT(Dong6),"",OFFSET(TH!F$1,SMALL(Dong6,ROWS($1:8)),))</f>
        <v>Tiền lương BP Văn phòng</v>
      </c>
      <c r="E18" s="800">
        <f t="shared" ca="1" si="0"/>
        <v>8</v>
      </c>
      <c r="F18" s="802" t="str">
        <f ca="1">IF(ROWS($1:8)&gt;COUNT(Dong6),"",OFFSET(TH!L$1,SMALL(Dong6,ROWS($1:8)),))</f>
        <v>642</v>
      </c>
      <c r="G18" s="802" t="str">
        <f ca="1">IF(ROWS($1:8)&gt;COUNT(Dong6),"",OFFSET(TH!M$1,SMALL(Dong6,ROWS($1:8)),))</f>
        <v>3341</v>
      </c>
      <c r="H18" s="677">
        <f ca="1">IF(ROWS($1:8)&gt;COUNT(Dong6),"",OFFSET(TH!K$1,SMALL(Dong6,ROWS($1:8)),))</f>
        <v>15125000</v>
      </c>
      <c r="I18" s="677">
        <f ca="1">IF(ROWS($1:8)&gt;COUNT(Dong6),"",OFFSET(TH!K$1,SMALL(Dong6,ROWS($1:8)),))</f>
        <v>15125000</v>
      </c>
    </row>
    <row r="19" spans="1:9" s="791" customFormat="1" ht="21" customHeight="1">
      <c r="A19" s="799">
        <f ca="1">IF(ROWS($1:9)&gt;COUNT(Dong6),"",OFFSET(TH!C$1,SMALL(Dong6,ROWS($1:9)),))</f>
        <v>41912</v>
      </c>
      <c r="B19" s="800" t="str">
        <f ca="1">IF(ROWS($1:9)&gt;COUNT(Dong6),"",OFFSET(TH!D$1,SMALL(Dong6,ROWS($1:9)),))</f>
        <v>CTGS</v>
      </c>
      <c r="C19" s="799">
        <f ca="1">IF(ROWS($1:9)&gt;COUNT(Dong6),"",OFFSET(TH!E$1,SMALL(Dong6,ROWS($1:9)),))</f>
        <v>41912</v>
      </c>
      <c r="D19" s="801" t="str">
        <f ca="1">IF(ROWS($1:9)&gt;COUNT(Dong6),"",OFFSET(TH!F$1,SMALL(Dong6,ROWS($1:9)),))</f>
        <v>Tiền lương BP Phân Xưởng &amp; CN</v>
      </c>
      <c r="E19" s="800">
        <f t="shared" ca="1" si="0"/>
        <v>9</v>
      </c>
      <c r="F19" s="802" t="str">
        <f ca="1">IF(ROWS($1:9)&gt;COUNT(Dong6),"",OFFSET(TH!L$1,SMALL(Dong6,ROWS($1:9)),))</f>
        <v>154</v>
      </c>
      <c r="G19" s="802" t="str">
        <f ca="1">IF(ROWS($1:9)&gt;COUNT(Dong6),"",OFFSET(TH!M$1,SMALL(Dong6,ROWS($1:9)),))</f>
        <v>3341</v>
      </c>
      <c r="H19" s="677">
        <f ca="1">IF(ROWS($1:9)&gt;COUNT(Dong6),"",OFFSET(TH!K$1,SMALL(Dong6,ROWS($1:9)),))</f>
        <v>30925000</v>
      </c>
      <c r="I19" s="677">
        <f ca="1">IF(ROWS($1:9)&gt;COUNT(Dong6),"",OFFSET(TH!K$1,SMALL(Dong6,ROWS($1:9)),))</f>
        <v>30925000</v>
      </c>
    </row>
    <row r="20" spans="1:9" s="791" customFormat="1" ht="21" customHeight="1">
      <c r="A20" s="799">
        <f ca="1">IF(ROWS($1:10)&gt;COUNT(Dong6),"",OFFSET(TH!C$1,SMALL(Dong6,ROWS($1:10)),))</f>
        <v>41912</v>
      </c>
      <c r="B20" s="800" t="str">
        <f ca="1">IF(ROWS($1:10)&gt;COUNT(Dong6),"",OFFSET(TH!D$1,SMALL(Dong6,ROWS($1:10)),))</f>
        <v>CTGS</v>
      </c>
      <c r="C20" s="799">
        <f ca="1">IF(ROWS($1:10)&gt;COUNT(Dong6),"",OFFSET(TH!E$1,SMALL(Dong6,ROWS($1:10)),))</f>
        <v>41912</v>
      </c>
      <c r="D20" s="801" t="str">
        <f ca="1">IF(ROWS($1:10)&gt;COUNT(Dong6),"",OFFSET(TH!F$1,SMALL(Dong6,ROWS($1:10)),))</f>
        <v>Thanh toán tiền lương tháng 9/2014</v>
      </c>
      <c r="E20" s="800">
        <f t="shared" ca="1" si="0"/>
        <v>10</v>
      </c>
      <c r="F20" s="802" t="str">
        <f ca="1">IF(ROWS($1:10)&gt;COUNT(Dong6),"",OFFSET(TH!L$1,SMALL(Dong6,ROWS($1:10)),))</f>
        <v>3341</v>
      </c>
      <c r="G20" s="802" t="str">
        <f ca="1">IF(ROWS($1:10)&gt;COUNT(Dong6),"",OFFSET(TH!M$1,SMALL(Dong6,ROWS($1:10)),))</f>
        <v>1111</v>
      </c>
      <c r="H20" s="677">
        <f ca="1">IF(ROWS($1:10)&gt;COUNT(Dong6),"",OFFSET(TH!K$1,SMALL(Dong6,ROWS($1:10)),))</f>
        <v>46050000</v>
      </c>
      <c r="I20" s="677">
        <f ca="1">IF(ROWS($1:10)&gt;COUNT(Dong6),"",OFFSET(TH!K$1,SMALL(Dong6,ROWS($1:10)),))</f>
        <v>46050000</v>
      </c>
    </row>
    <row r="21" spans="1:9" s="791" customFormat="1" ht="21" customHeight="1">
      <c r="A21" s="799">
        <f ca="1">IF(ROWS($1:11)&gt;COUNT(Dong6),"",OFFSET(TH!C$1,SMALL(Dong6,ROWS($1:11)),))</f>
        <v>41831</v>
      </c>
      <c r="B21" s="800" t="str">
        <f ca="1">IF(ROWS($1:11)&gt;COUNT(Dong6),"",OFFSET(TH!D$1,SMALL(Dong6,ROWS($1:11)),))</f>
        <v>TP/X01</v>
      </c>
      <c r="C21" s="799">
        <f ca="1">IF(ROWS($1:11)&gt;COUNT(Dong6),"",OFFSET(TH!E$1,SMALL(Dong6,ROWS($1:11)),))</f>
        <v>41831</v>
      </c>
      <c r="D21" s="801" t="str">
        <f ca="1">IF(ROWS($1:11)&gt;COUNT(Dong6),"",OFFSET(TH!F$1,SMALL(Dong6,ROWS($1:11)),))</f>
        <v>Thùng (59x38x17)</v>
      </c>
      <c r="E21" s="800">
        <f t="shared" ca="1" si="0"/>
        <v>11</v>
      </c>
      <c r="F21" s="802" t="str">
        <f ca="1">IF(ROWS($1:11)&gt;COUNT(Dong6),"",OFFSET(TH!L$1,SMALL(Dong6,ROWS($1:11)),))</f>
        <v>131</v>
      </c>
      <c r="G21" s="802" t="str">
        <f ca="1">IF(ROWS($1:11)&gt;COUNT(Dong6),"",OFFSET(TH!M$1,SMALL(Dong6,ROWS($1:11)),))</f>
        <v>5112</v>
      </c>
      <c r="H21" s="677">
        <f ca="1">IF(ROWS($1:11)&gt;COUNT(Dong6),"",OFFSET(TH!K$1,SMALL(Dong6,ROWS($1:11)),))</f>
        <v>4788000</v>
      </c>
      <c r="I21" s="677">
        <f ca="1">IF(ROWS($1:11)&gt;COUNT(Dong6),"",OFFSET(TH!K$1,SMALL(Dong6,ROWS($1:11)),))</f>
        <v>4788000</v>
      </c>
    </row>
    <row r="22" spans="1:9" s="791" customFormat="1" ht="21" customHeight="1">
      <c r="A22" s="799">
        <f ca="1">IF(ROWS($1:12)&gt;COUNT(Dong6),"",OFFSET(TH!C$1,SMALL(Dong6,ROWS($1:12)),))</f>
        <v>41831</v>
      </c>
      <c r="B22" s="800" t="str">
        <f ca="1">IF(ROWS($1:12)&gt;COUNT(Dong6),"",OFFSET(TH!D$1,SMALL(Dong6,ROWS($1:12)),))</f>
        <v>TP/X01</v>
      </c>
      <c r="C22" s="799">
        <f ca="1">IF(ROWS($1:12)&gt;COUNT(Dong6),"",OFFSET(TH!E$1,SMALL(Dong6,ROWS($1:12)),))</f>
        <v>41831</v>
      </c>
      <c r="D22" s="801" t="str">
        <f ca="1">IF(ROWS($1:12)&gt;COUNT(Dong6),"",OFFSET(TH!F$1,SMALL(Dong6,ROWS($1:12)),))</f>
        <v>Thùng (59x38x17)</v>
      </c>
      <c r="E22" s="800">
        <f t="shared" ca="1" si="0"/>
        <v>12</v>
      </c>
      <c r="F22" s="802" t="str">
        <f ca="1">IF(ROWS($1:12)&gt;COUNT(Dong6),"",OFFSET(TH!L$1,SMALL(Dong6,ROWS($1:12)),))</f>
        <v>131</v>
      </c>
      <c r="G22" s="802" t="str">
        <f ca="1">IF(ROWS($1:12)&gt;COUNT(Dong6),"",OFFSET(TH!M$1,SMALL(Dong6,ROWS($1:12)),))</f>
        <v>5112</v>
      </c>
      <c r="H22" s="677">
        <f ca="1">IF(ROWS($1:12)&gt;COUNT(Dong6),"",OFFSET(TH!K$1,SMALL(Dong6,ROWS($1:12)),))</f>
        <v>6768000</v>
      </c>
      <c r="I22" s="677">
        <f ca="1">IF(ROWS($1:12)&gt;COUNT(Dong6),"",OFFSET(TH!K$1,SMALL(Dong6,ROWS($1:12)),))</f>
        <v>6768000</v>
      </c>
    </row>
    <row r="23" spans="1:9" s="791" customFormat="1" ht="21" customHeight="1">
      <c r="A23" s="799">
        <f ca="1">IF(ROWS($1:13)&gt;COUNT(Dong6),"",OFFSET(TH!C$1,SMALL(Dong6,ROWS($1:13)),))</f>
        <v>41831</v>
      </c>
      <c r="B23" s="800" t="str">
        <f ca="1">IF(ROWS($1:13)&gt;COUNT(Dong6),"",OFFSET(TH!D$1,SMALL(Dong6,ROWS($1:13)),))</f>
        <v>TP/X01</v>
      </c>
      <c r="C23" s="799">
        <f ca="1">IF(ROWS($1:13)&gt;COUNT(Dong6),"",OFFSET(TH!E$1,SMALL(Dong6,ROWS($1:13)),))</f>
        <v>41831</v>
      </c>
      <c r="D23" s="801" t="str">
        <f ca="1">IF(ROWS($1:13)&gt;COUNT(Dong6),"",OFFSET(TH!F$1,SMALL(Dong6,ROWS($1:13)),))</f>
        <v>VAT Thùng carton</v>
      </c>
      <c r="E23" s="800">
        <f t="shared" ca="1" si="0"/>
        <v>13</v>
      </c>
      <c r="F23" s="802" t="str">
        <f ca="1">IF(ROWS($1:13)&gt;COUNT(Dong6),"",OFFSET(TH!L$1,SMALL(Dong6,ROWS($1:13)),))</f>
        <v>131</v>
      </c>
      <c r="G23" s="802" t="str">
        <f ca="1">IF(ROWS($1:13)&gt;COUNT(Dong6),"",OFFSET(TH!M$1,SMALL(Dong6,ROWS($1:13)),))</f>
        <v>3331</v>
      </c>
      <c r="H23" s="677">
        <f ca="1">IF(ROWS($1:13)&gt;COUNT(Dong6),"",OFFSET(TH!K$1,SMALL(Dong6,ROWS($1:13)),))</f>
        <v>1155600</v>
      </c>
      <c r="I23" s="677">
        <f ca="1">IF(ROWS($1:13)&gt;COUNT(Dong6),"",OFFSET(TH!K$1,SMALL(Dong6,ROWS($1:13)),))</f>
        <v>1155600</v>
      </c>
    </row>
    <row r="24" spans="1:9" s="791" customFormat="1" ht="21" customHeight="1">
      <c r="A24" s="799">
        <f ca="1">IF(ROWS($1:14)&gt;COUNT(Dong6),"",OFFSET(TH!C$1,SMALL(Dong6,ROWS($1:14)),))</f>
        <v>41832</v>
      </c>
      <c r="B24" s="800" t="str">
        <f ca="1">IF(ROWS($1:14)&gt;COUNT(Dong6),"",OFFSET(TH!D$1,SMALL(Dong6,ROWS($1:14)),))</f>
        <v>TP/X02</v>
      </c>
      <c r="C24" s="799">
        <f ca="1">IF(ROWS($1:14)&gt;COUNT(Dong6),"",OFFSET(TH!E$1,SMALL(Dong6,ROWS($1:14)),))</f>
        <v>41832</v>
      </c>
      <c r="D24" s="801" t="str">
        <f ca="1">IF(ROWS($1:14)&gt;COUNT(Dong6),"",OFFSET(TH!F$1,SMALL(Dong6,ROWS($1:14)),))</f>
        <v>Thùng (47x34x25)</v>
      </c>
      <c r="E24" s="800">
        <f t="shared" ca="1" si="0"/>
        <v>14</v>
      </c>
      <c r="F24" s="802" t="str">
        <f ca="1">IF(ROWS($1:14)&gt;COUNT(Dong6),"",OFFSET(TH!L$1,SMALL(Dong6,ROWS($1:14)),))</f>
        <v>131</v>
      </c>
      <c r="G24" s="802" t="str">
        <f ca="1">IF(ROWS($1:14)&gt;COUNT(Dong6),"",OFFSET(TH!M$1,SMALL(Dong6,ROWS($1:14)),))</f>
        <v>5112</v>
      </c>
      <c r="H24" s="677">
        <f ca="1">IF(ROWS($1:14)&gt;COUNT(Dong6),"",OFFSET(TH!K$1,SMALL(Dong6,ROWS($1:14)),))</f>
        <v>4126500</v>
      </c>
      <c r="I24" s="677">
        <f ca="1">IF(ROWS($1:14)&gt;COUNT(Dong6),"",OFFSET(TH!K$1,SMALL(Dong6,ROWS($1:14)),))</f>
        <v>4126500</v>
      </c>
    </row>
    <row r="25" spans="1:9" s="791" customFormat="1" ht="21" customHeight="1">
      <c r="A25" s="799">
        <f ca="1">IF(ROWS($1:15)&gt;COUNT(Dong6),"",OFFSET(TH!C$1,SMALL(Dong6,ROWS($1:15)),))</f>
        <v>41832</v>
      </c>
      <c r="B25" s="800" t="str">
        <f ca="1">IF(ROWS($1:15)&gt;COUNT(Dong6),"",OFFSET(TH!D$1,SMALL(Dong6,ROWS($1:15)),))</f>
        <v>TP/X02</v>
      </c>
      <c r="C25" s="799">
        <f ca="1">IF(ROWS($1:15)&gt;COUNT(Dong6),"",OFFSET(TH!E$1,SMALL(Dong6,ROWS($1:15)),))</f>
        <v>41832</v>
      </c>
      <c r="D25" s="801" t="str">
        <f ca="1">IF(ROWS($1:15)&gt;COUNT(Dong6),"",OFFSET(TH!F$1,SMALL(Dong6,ROWS($1:15)),))</f>
        <v>Thùng (51x38x25)</v>
      </c>
      <c r="E25" s="800">
        <f t="shared" ca="1" si="0"/>
        <v>15</v>
      </c>
      <c r="F25" s="802" t="str">
        <f ca="1">IF(ROWS($1:15)&gt;COUNT(Dong6),"",OFFSET(TH!L$1,SMALL(Dong6,ROWS($1:15)),))</f>
        <v>131</v>
      </c>
      <c r="G25" s="802" t="str">
        <f ca="1">IF(ROWS($1:15)&gt;COUNT(Dong6),"",OFFSET(TH!M$1,SMALL(Dong6,ROWS($1:15)),))</f>
        <v>5112</v>
      </c>
      <c r="H25" s="677">
        <f ca="1">IF(ROWS($1:15)&gt;COUNT(Dong6),"",OFFSET(TH!K$1,SMALL(Dong6,ROWS($1:15)),))</f>
        <v>6144000</v>
      </c>
      <c r="I25" s="677">
        <f ca="1">IF(ROWS($1:15)&gt;COUNT(Dong6),"",OFFSET(TH!K$1,SMALL(Dong6,ROWS($1:15)),))</f>
        <v>6144000</v>
      </c>
    </row>
    <row r="26" spans="1:9" s="791" customFormat="1" ht="21" customHeight="1">
      <c r="A26" s="799">
        <f ca="1">IF(ROWS($1:16)&gt;COUNT(Dong6),"",OFFSET(TH!C$1,SMALL(Dong6,ROWS($1:16)),))</f>
        <v>41832</v>
      </c>
      <c r="B26" s="800" t="str">
        <f ca="1">IF(ROWS($1:16)&gt;COUNT(Dong6),"",OFFSET(TH!D$1,SMALL(Dong6,ROWS($1:16)),))</f>
        <v>TP/X02</v>
      </c>
      <c r="C26" s="799">
        <f ca="1">IF(ROWS($1:16)&gt;COUNT(Dong6),"",OFFSET(TH!E$1,SMALL(Dong6,ROWS($1:16)),))</f>
        <v>41832</v>
      </c>
      <c r="D26" s="801" t="str">
        <f ca="1">IF(ROWS($1:16)&gt;COUNT(Dong6),"",OFFSET(TH!F$1,SMALL(Dong6,ROWS($1:16)),))</f>
        <v>Thùng (45x42x22)</v>
      </c>
      <c r="E26" s="800">
        <f t="shared" ca="1" si="0"/>
        <v>16</v>
      </c>
      <c r="F26" s="802" t="str">
        <f ca="1">IF(ROWS($1:16)&gt;COUNT(Dong6),"",OFFSET(TH!L$1,SMALL(Dong6,ROWS($1:16)),))</f>
        <v>131</v>
      </c>
      <c r="G26" s="802" t="str">
        <f ca="1">IF(ROWS($1:16)&gt;COUNT(Dong6),"",OFFSET(TH!M$1,SMALL(Dong6,ROWS($1:16)),))</f>
        <v>5112</v>
      </c>
      <c r="H26" s="677">
        <f ca="1">IF(ROWS($1:16)&gt;COUNT(Dong6),"",OFFSET(TH!K$1,SMALL(Dong6,ROWS($1:16)),))</f>
        <v>2781300</v>
      </c>
      <c r="I26" s="677">
        <f ca="1">IF(ROWS($1:16)&gt;COUNT(Dong6),"",OFFSET(TH!K$1,SMALL(Dong6,ROWS($1:16)),))</f>
        <v>2781300</v>
      </c>
    </row>
    <row r="27" spans="1:9" s="791" customFormat="1" ht="21" customHeight="1">
      <c r="A27" s="799">
        <f ca="1">IF(ROWS($1:17)&gt;COUNT(Dong6),"",OFFSET(TH!C$1,SMALL(Dong6,ROWS($1:17)),))</f>
        <v>41832</v>
      </c>
      <c r="B27" s="800" t="str">
        <f ca="1">IF(ROWS($1:17)&gt;COUNT(Dong6),"",OFFSET(TH!D$1,SMALL(Dong6,ROWS($1:17)),))</f>
        <v>TP/X02</v>
      </c>
      <c r="C27" s="799">
        <f ca="1">IF(ROWS($1:17)&gt;COUNT(Dong6),"",OFFSET(TH!E$1,SMALL(Dong6,ROWS($1:17)),))</f>
        <v>41832</v>
      </c>
      <c r="D27" s="801" t="str">
        <f ca="1">IF(ROWS($1:17)&gt;COUNT(Dong6),"",OFFSET(TH!F$1,SMALL(Dong6,ROWS($1:17)),))</f>
        <v>VAT Thùng carton</v>
      </c>
      <c r="E27" s="800">
        <f t="shared" ca="1" si="0"/>
        <v>17</v>
      </c>
      <c r="F27" s="802" t="str">
        <f ca="1">IF(ROWS($1:17)&gt;COUNT(Dong6),"",OFFSET(TH!L$1,SMALL(Dong6,ROWS($1:17)),))</f>
        <v>131</v>
      </c>
      <c r="G27" s="802" t="str">
        <f ca="1">IF(ROWS($1:17)&gt;COUNT(Dong6),"",OFFSET(TH!M$1,SMALL(Dong6,ROWS($1:17)),))</f>
        <v>3331</v>
      </c>
      <c r="H27" s="677">
        <f ca="1">IF(ROWS($1:17)&gt;COUNT(Dong6),"",OFFSET(TH!K$1,SMALL(Dong6,ROWS($1:17)),))</f>
        <v>1305180</v>
      </c>
      <c r="I27" s="677">
        <f ca="1">IF(ROWS($1:17)&gt;COUNT(Dong6),"",OFFSET(TH!K$1,SMALL(Dong6,ROWS($1:17)),))</f>
        <v>1305180</v>
      </c>
    </row>
    <row r="28" spans="1:9" s="791" customFormat="1" ht="21" customHeight="1">
      <c r="A28" s="799">
        <f ca="1">IF(ROWS($1:18)&gt;COUNT(Dong6),"",OFFSET(TH!C$1,SMALL(Dong6,ROWS($1:18)),))</f>
        <v>41834</v>
      </c>
      <c r="B28" s="800" t="str">
        <f ca="1">IF(ROWS($1:18)&gt;COUNT(Dong6),"",OFFSET(TH!D$1,SMALL(Dong6,ROWS($1:18)),))</f>
        <v>TP/X03</v>
      </c>
      <c r="C28" s="799">
        <f ca="1">IF(ROWS($1:18)&gt;COUNT(Dong6),"",OFFSET(TH!E$1,SMALL(Dong6,ROWS($1:18)),))</f>
        <v>41834</v>
      </c>
      <c r="D28" s="801" t="str">
        <f ca="1">IF(ROWS($1:18)&gt;COUNT(Dong6),"",OFFSET(TH!F$1,SMALL(Dong6,ROWS($1:18)),))</f>
        <v>Thùng (34x34x40)</v>
      </c>
      <c r="E28" s="800">
        <f t="shared" ca="1" si="0"/>
        <v>18</v>
      </c>
      <c r="F28" s="802" t="str">
        <f ca="1">IF(ROWS($1:18)&gt;COUNT(Dong6),"",OFFSET(TH!L$1,SMALL(Dong6,ROWS($1:18)),))</f>
        <v>131</v>
      </c>
      <c r="G28" s="802" t="str">
        <f ca="1">IF(ROWS($1:18)&gt;COUNT(Dong6),"",OFFSET(TH!M$1,SMALL(Dong6,ROWS($1:18)),))</f>
        <v>5112</v>
      </c>
      <c r="H28" s="677">
        <f ca="1">IF(ROWS($1:18)&gt;COUNT(Dong6),"",OFFSET(TH!K$1,SMALL(Dong6,ROWS($1:18)),))</f>
        <v>3485700</v>
      </c>
      <c r="I28" s="677">
        <f ca="1">IF(ROWS($1:18)&gt;COUNT(Dong6),"",OFFSET(TH!K$1,SMALL(Dong6,ROWS($1:18)),))</f>
        <v>3485700</v>
      </c>
    </row>
    <row r="29" spans="1:9" s="791" customFormat="1" ht="21" customHeight="1">
      <c r="A29" s="799">
        <f ca="1">IF(ROWS($1:19)&gt;COUNT(Dong6),"",OFFSET(TH!C$1,SMALL(Dong6,ROWS($1:19)),))</f>
        <v>41834</v>
      </c>
      <c r="B29" s="800" t="str">
        <f ca="1">IF(ROWS($1:19)&gt;COUNT(Dong6),"",OFFSET(TH!D$1,SMALL(Dong6,ROWS($1:19)),))</f>
        <v>TP/X03</v>
      </c>
      <c r="C29" s="799">
        <f ca="1">IF(ROWS($1:19)&gt;COUNT(Dong6),"",OFFSET(TH!E$1,SMALL(Dong6,ROWS($1:19)),))</f>
        <v>41834</v>
      </c>
      <c r="D29" s="801" t="str">
        <f ca="1">IF(ROWS($1:19)&gt;COUNT(Dong6),"",OFFSET(TH!F$1,SMALL(Dong6,ROWS($1:19)),))</f>
        <v>Thùng (34x34x43)</v>
      </c>
      <c r="E29" s="800">
        <f t="shared" ca="1" si="0"/>
        <v>19</v>
      </c>
      <c r="F29" s="802" t="str">
        <f ca="1">IF(ROWS($1:19)&gt;COUNT(Dong6),"",OFFSET(TH!L$1,SMALL(Dong6,ROWS($1:19)),))</f>
        <v>131</v>
      </c>
      <c r="G29" s="802" t="str">
        <f ca="1">IF(ROWS($1:19)&gt;COUNT(Dong6),"",OFFSET(TH!M$1,SMALL(Dong6,ROWS($1:19)),))</f>
        <v>5112</v>
      </c>
      <c r="H29" s="677">
        <f ca="1">IF(ROWS($1:19)&gt;COUNT(Dong6),"",OFFSET(TH!K$1,SMALL(Dong6,ROWS($1:19)),))</f>
        <v>8676000</v>
      </c>
      <c r="I29" s="677">
        <f ca="1">IF(ROWS($1:19)&gt;COUNT(Dong6),"",OFFSET(TH!K$1,SMALL(Dong6,ROWS($1:19)),))</f>
        <v>8676000</v>
      </c>
    </row>
    <row r="30" spans="1:9" s="791" customFormat="1" ht="21" customHeight="1">
      <c r="A30" s="799">
        <f ca="1">IF(ROWS($1:20)&gt;COUNT(Dong6),"",OFFSET(TH!C$1,SMALL(Dong6,ROWS($1:20)),))</f>
        <v>41834</v>
      </c>
      <c r="B30" s="800" t="str">
        <f ca="1">IF(ROWS($1:20)&gt;COUNT(Dong6),"",OFFSET(TH!D$1,SMALL(Dong6,ROWS($1:20)),))</f>
        <v>TP/X03</v>
      </c>
      <c r="C30" s="799">
        <f ca="1">IF(ROWS($1:20)&gt;COUNT(Dong6),"",OFFSET(TH!E$1,SMALL(Dong6,ROWS($1:20)),))</f>
        <v>41834</v>
      </c>
      <c r="D30" s="801" t="str">
        <f ca="1">IF(ROWS($1:20)&gt;COUNT(Dong6),"",OFFSET(TH!F$1,SMALL(Dong6,ROWS($1:20)),))</f>
        <v>VAT Thùng carton</v>
      </c>
      <c r="E30" s="800">
        <f t="shared" ca="1" si="0"/>
        <v>20</v>
      </c>
      <c r="F30" s="802" t="str">
        <f ca="1">IF(ROWS($1:20)&gt;COUNT(Dong6),"",OFFSET(TH!L$1,SMALL(Dong6,ROWS($1:20)),))</f>
        <v>131</v>
      </c>
      <c r="G30" s="802" t="str">
        <f ca="1">IF(ROWS($1:20)&gt;COUNT(Dong6),"",OFFSET(TH!M$1,SMALL(Dong6,ROWS($1:20)),))</f>
        <v>3331</v>
      </c>
      <c r="H30" s="677">
        <f ca="1">IF(ROWS($1:20)&gt;COUNT(Dong6),"",OFFSET(TH!K$1,SMALL(Dong6,ROWS($1:20)),))</f>
        <v>1216170</v>
      </c>
      <c r="I30" s="677">
        <f ca="1">IF(ROWS($1:20)&gt;COUNT(Dong6),"",OFFSET(TH!K$1,SMALL(Dong6,ROWS($1:20)),))</f>
        <v>1216170</v>
      </c>
    </row>
    <row r="31" spans="1:9" s="791" customFormat="1" ht="21" customHeight="1">
      <c r="A31" s="799">
        <f ca="1">IF(ROWS($1:21)&gt;COUNT(Dong6),"",OFFSET(TH!C$1,SMALL(Dong6,ROWS($1:21)),))</f>
        <v>41834</v>
      </c>
      <c r="B31" s="800" t="str">
        <f ca="1">IF(ROWS($1:21)&gt;COUNT(Dong6),"",OFFSET(TH!D$1,SMALL(Dong6,ROWS($1:21)),))</f>
        <v>TP/X04</v>
      </c>
      <c r="C31" s="799">
        <f ca="1">IF(ROWS($1:21)&gt;COUNT(Dong6),"",OFFSET(TH!E$1,SMALL(Dong6,ROWS($1:21)),))</f>
        <v>41834</v>
      </c>
      <c r="D31" s="801" t="str">
        <f ca="1">IF(ROWS($1:21)&gt;COUNT(Dong6),"",OFFSET(TH!F$1,SMALL(Dong6,ROWS($1:21)),))</f>
        <v>Thùng (49x38x12)</v>
      </c>
      <c r="E31" s="800">
        <f t="shared" ca="1" si="0"/>
        <v>21</v>
      </c>
      <c r="F31" s="802" t="str">
        <f ca="1">IF(ROWS($1:21)&gt;COUNT(Dong6),"",OFFSET(TH!L$1,SMALL(Dong6,ROWS($1:21)),))</f>
        <v>131</v>
      </c>
      <c r="G31" s="802" t="str">
        <f ca="1">IF(ROWS($1:21)&gt;COUNT(Dong6),"",OFFSET(TH!M$1,SMALL(Dong6,ROWS($1:21)),))</f>
        <v>5112</v>
      </c>
      <c r="H31" s="677">
        <f ca="1">IF(ROWS($1:21)&gt;COUNT(Dong6),"",OFFSET(TH!K$1,SMALL(Dong6,ROWS($1:21)),))</f>
        <v>5481000</v>
      </c>
      <c r="I31" s="677">
        <f ca="1">IF(ROWS($1:21)&gt;COUNT(Dong6),"",OFFSET(TH!K$1,SMALL(Dong6,ROWS($1:21)),))</f>
        <v>5481000</v>
      </c>
    </row>
    <row r="32" spans="1:9" s="791" customFormat="1" ht="21" customHeight="1">
      <c r="A32" s="799">
        <f ca="1">IF(ROWS($1:22)&gt;COUNT(Dong6),"",OFFSET(TH!C$1,SMALL(Dong6,ROWS($1:22)),))</f>
        <v>41834</v>
      </c>
      <c r="B32" s="800" t="str">
        <f ca="1">IF(ROWS($1:22)&gt;COUNT(Dong6),"",OFFSET(TH!D$1,SMALL(Dong6,ROWS($1:22)),))</f>
        <v>TP/X04</v>
      </c>
      <c r="C32" s="799">
        <f ca="1">IF(ROWS($1:22)&gt;COUNT(Dong6),"",OFFSET(TH!E$1,SMALL(Dong6,ROWS($1:22)),))</f>
        <v>41834</v>
      </c>
      <c r="D32" s="801" t="str">
        <f ca="1">IF(ROWS($1:22)&gt;COUNT(Dong6),"",OFFSET(TH!F$1,SMALL(Dong6,ROWS($1:22)),))</f>
        <v>Thùng (45x42x22)</v>
      </c>
      <c r="E32" s="800">
        <f t="shared" ca="1" si="0"/>
        <v>22</v>
      </c>
      <c r="F32" s="802" t="str">
        <f ca="1">IF(ROWS($1:22)&gt;COUNT(Dong6),"",OFFSET(TH!L$1,SMALL(Dong6,ROWS($1:22)),))</f>
        <v>131</v>
      </c>
      <c r="G32" s="802" t="str">
        <f ca="1">IF(ROWS($1:22)&gt;COUNT(Dong6),"",OFFSET(TH!M$1,SMALL(Dong6,ROWS($1:22)),))</f>
        <v>5112</v>
      </c>
      <c r="H32" s="677">
        <f ca="1">IF(ROWS($1:22)&gt;COUNT(Dong6),"",OFFSET(TH!K$1,SMALL(Dong6,ROWS($1:22)),))</f>
        <v>4987500</v>
      </c>
      <c r="I32" s="677">
        <f ca="1">IF(ROWS($1:22)&gt;COUNT(Dong6),"",OFFSET(TH!K$1,SMALL(Dong6,ROWS($1:22)),))</f>
        <v>4987500</v>
      </c>
    </row>
    <row r="33" spans="1:9" s="791" customFormat="1" ht="21" customHeight="1">
      <c r="A33" s="799">
        <f ca="1">IF(ROWS($1:23)&gt;COUNT(Dong6),"",OFFSET(TH!C$1,SMALL(Dong6,ROWS($1:23)),))</f>
        <v>41834</v>
      </c>
      <c r="B33" s="800" t="str">
        <f ca="1">IF(ROWS($1:23)&gt;COUNT(Dong6),"",OFFSET(TH!D$1,SMALL(Dong6,ROWS($1:23)),))</f>
        <v>TP/X04</v>
      </c>
      <c r="C33" s="799">
        <f ca="1">IF(ROWS($1:23)&gt;COUNT(Dong6),"",OFFSET(TH!E$1,SMALL(Dong6,ROWS($1:23)),))</f>
        <v>41834</v>
      </c>
      <c r="D33" s="801" t="str">
        <f ca="1">IF(ROWS($1:23)&gt;COUNT(Dong6),"",OFFSET(TH!F$1,SMALL(Dong6,ROWS($1:23)),))</f>
        <v>VAT Thùng carton</v>
      </c>
      <c r="E33" s="800">
        <f t="shared" ca="1" si="0"/>
        <v>23</v>
      </c>
      <c r="F33" s="802" t="str">
        <f ca="1">IF(ROWS($1:23)&gt;COUNT(Dong6),"",OFFSET(TH!L$1,SMALL(Dong6,ROWS($1:23)),))</f>
        <v>131</v>
      </c>
      <c r="G33" s="802" t="str">
        <f ca="1">IF(ROWS($1:23)&gt;COUNT(Dong6),"",OFFSET(TH!M$1,SMALL(Dong6,ROWS($1:23)),))</f>
        <v>3331</v>
      </c>
      <c r="H33" s="677">
        <f ca="1">IF(ROWS($1:23)&gt;COUNT(Dong6),"",OFFSET(TH!K$1,SMALL(Dong6,ROWS($1:23)),))</f>
        <v>1046850</v>
      </c>
      <c r="I33" s="677">
        <f ca="1">IF(ROWS($1:23)&gt;COUNT(Dong6),"",OFFSET(TH!K$1,SMALL(Dong6,ROWS($1:23)),))</f>
        <v>1046850</v>
      </c>
    </row>
    <row r="34" spans="1:9" s="791" customFormat="1" ht="21" customHeight="1">
      <c r="A34" s="799">
        <f ca="1">IF(ROWS($1:24)&gt;COUNT(Dong6),"",OFFSET(TH!C$1,SMALL(Dong6,ROWS($1:24)),))</f>
        <v>41834</v>
      </c>
      <c r="B34" s="800" t="str">
        <f ca="1">IF(ROWS($1:24)&gt;COUNT(Dong6),"",OFFSET(TH!D$1,SMALL(Dong6,ROWS($1:24)),))</f>
        <v>TP/X06</v>
      </c>
      <c r="C34" s="799">
        <f ca="1">IF(ROWS($1:24)&gt;COUNT(Dong6),"",OFFSET(TH!E$1,SMALL(Dong6,ROWS($1:24)),))</f>
        <v>41834</v>
      </c>
      <c r="D34" s="801" t="str">
        <f ca="1">IF(ROWS($1:24)&gt;COUNT(Dong6),"",OFFSET(TH!F$1,SMALL(Dong6,ROWS($1:24)),))</f>
        <v>Thùng (39,5x32,3x27,7)</v>
      </c>
      <c r="E34" s="800">
        <f t="shared" ca="1" si="0"/>
        <v>24</v>
      </c>
      <c r="F34" s="802" t="str">
        <f ca="1">IF(ROWS($1:24)&gt;COUNT(Dong6),"",OFFSET(TH!L$1,SMALL(Dong6,ROWS($1:24)),))</f>
        <v>131</v>
      </c>
      <c r="G34" s="802" t="str">
        <f ca="1">IF(ROWS($1:24)&gt;COUNT(Dong6),"",OFFSET(TH!M$1,SMALL(Dong6,ROWS($1:24)),))</f>
        <v>5112</v>
      </c>
      <c r="H34" s="677">
        <f ca="1">IF(ROWS($1:24)&gt;COUNT(Dong6),"",OFFSET(TH!K$1,SMALL(Dong6,ROWS($1:24)),))</f>
        <v>2011600</v>
      </c>
      <c r="I34" s="677">
        <f ca="1">IF(ROWS($1:24)&gt;COUNT(Dong6),"",OFFSET(TH!K$1,SMALL(Dong6,ROWS($1:24)),))</f>
        <v>2011600</v>
      </c>
    </row>
    <row r="35" spans="1:9" s="791" customFormat="1" ht="21" customHeight="1">
      <c r="A35" s="799">
        <f ca="1">IF(ROWS($1:25)&gt;COUNT(Dong6),"",OFFSET(TH!C$1,SMALL(Dong6,ROWS($1:25)),))</f>
        <v>41834</v>
      </c>
      <c r="B35" s="800" t="str">
        <f ca="1">IF(ROWS($1:25)&gt;COUNT(Dong6),"",OFFSET(TH!D$1,SMALL(Dong6,ROWS($1:25)),))</f>
        <v>TP/X06</v>
      </c>
      <c r="C35" s="799">
        <f ca="1">IF(ROWS($1:25)&gt;COUNT(Dong6),"",OFFSET(TH!E$1,SMALL(Dong6,ROWS($1:25)),))</f>
        <v>41834</v>
      </c>
      <c r="D35" s="801" t="str">
        <f ca="1">IF(ROWS($1:25)&gt;COUNT(Dong6),"",OFFSET(TH!F$1,SMALL(Dong6,ROWS($1:25)),))</f>
        <v>Thùng (41x31x25,5)</v>
      </c>
      <c r="E35" s="800">
        <f t="shared" ca="1" si="0"/>
        <v>25</v>
      </c>
      <c r="F35" s="802" t="str">
        <f ca="1">IF(ROWS($1:25)&gt;COUNT(Dong6),"",OFFSET(TH!L$1,SMALL(Dong6,ROWS($1:25)),))</f>
        <v>131</v>
      </c>
      <c r="G35" s="802" t="str">
        <f ca="1">IF(ROWS($1:25)&gt;COUNT(Dong6),"",OFFSET(TH!M$1,SMALL(Dong6,ROWS($1:25)),))</f>
        <v>5112</v>
      </c>
      <c r="H35" s="677">
        <f ca="1">IF(ROWS($1:25)&gt;COUNT(Dong6),"",OFFSET(TH!K$1,SMALL(Dong6,ROWS($1:25)),))</f>
        <v>1236900</v>
      </c>
      <c r="I35" s="677">
        <f ca="1">IF(ROWS($1:25)&gt;COUNT(Dong6),"",OFFSET(TH!K$1,SMALL(Dong6,ROWS($1:25)),))</f>
        <v>1236900</v>
      </c>
    </row>
    <row r="36" spans="1:9" s="791" customFormat="1" ht="21" customHeight="1">
      <c r="A36" s="799">
        <f ca="1">IF(ROWS($1:26)&gt;COUNT(Dong6),"",OFFSET(TH!C$1,SMALL(Dong6,ROWS($1:26)),))</f>
        <v>41834</v>
      </c>
      <c r="B36" s="800" t="str">
        <f ca="1">IF(ROWS($1:26)&gt;COUNT(Dong6),"",OFFSET(TH!D$1,SMALL(Dong6,ROWS($1:26)),))</f>
        <v>TP/X06</v>
      </c>
      <c r="C36" s="799">
        <f ca="1">IF(ROWS($1:26)&gt;COUNT(Dong6),"",OFFSET(TH!E$1,SMALL(Dong6,ROWS($1:26)),))</f>
        <v>41834</v>
      </c>
      <c r="D36" s="801" t="str">
        <f ca="1">IF(ROWS($1:26)&gt;COUNT(Dong6),"",OFFSET(TH!F$1,SMALL(Dong6,ROWS($1:26)),))</f>
        <v>VAT Thùng carton</v>
      </c>
      <c r="E36" s="800">
        <f t="shared" ca="1" si="0"/>
        <v>26</v>
      </c>
      <c r="F36" s="802" t="str">
        <f ca="1">IF(ROWS($1:26)&gt;COUNT(Dong6),"",OFFSET(TH!L$1,SMALL(Dong6,ROWS($1:26)),))</f>
        <v>131</v>
      </c>
      <c r="G36" s="802" t="str">
        <f ca="1">IF(ROWS($1:26)&gt;COUNT(Dong6),"",OFFSET(TH!M$1,SMALL(Dong6,ROWS($1:26)),))</f>
        <v>3331</v>
      </c>
      <c r="H36" s="677">
        <f ca="1">IF(ROWS($1:26)&gt;COUNT(Dong6),"",OFFSET(TH!K$1,SMALL(Dong6,ROWS($1:26)),))</f>
        <v>324850</v>
      </c>
      <c r="I36" s="677">
        <f ca="1">IF(ROWS($1:26)&gt;COUNT(Dong6),"",OFFSET(TH!K$1,SMALL(Dong6,ROWS($1:26)),))</f>
        <v>324850</v>
      </c>
    </row>
    <row r="37" spans="1:9" s="791" customFormat="1" ht="21" customHeight="1">
      <c r="A37" s="799">
        <f ca="1">IF(ROWS($1:27)&gt;COUNT(Dong6),"",OFFSET(TH!C$1,SMALL(Dong6,ROWS($1:27)),))</f>
        <v>41837</v>
      </c>
      <c r="B37" s="800" t="str">
        <f ca="1">IF(ROWS($1:27)&gt;COUNT(Dong6),"",OFFSET(TH!D$1,SMALL(Dong6,ROWS($1:27)),))</f>
        <v>TP/X07</v>
      </c>
      <c r="C37" s="799">
        <f ca="1">IF(ROWS($1:27)&gt;COUNT(Dong6),"",OFFSET(TH!E$1,SMALL(Dong6,ROWS($1:27)),))</f>
        <v>41837</v>
      </c>
      <c r="D37" s="801" t="str">
        <f ca="1">IF(ROWS($1:27)&gt;COUNT(Dong6),"",OFFSET(TH!F$1,SMALL(Dong6,ROWS($1:27)),))</f>
        <v>Thùng (46,5x41,5x25)</v>
      </c>
      <c r="E37" s="800">
        <f t="shared" ca="1" si="0"/>
        <v>27</v>
      </c>
      <c r="F37" s="802" t="str">
        <f ca="1">IF(ROWS($1:27)&gt;COUNT(Dong6),"",OFFSET(TH!L$1,SMALL(Dong6,ROWS($1:27)),))</f>
        <v>131</v>
      </c>
      <c r="G37" s="802" t="str">
        <f ca="1">IF(ROWS($1:27)&gt;COUNT(Dong6),"",OFFSET(TH!M$1,SMALL(Dong6,ROWS($1:27)),))</f>
        <v>5112</v>
      </c>
      <c r="H37" s="677">
        <f ca="1">IF(ROWS($1:27)&gt;COUNT(Dong6),"",OFFSET(TH!K$1,SMALL(Dong6,ROWS($1:27)),))</f>
        <v>1166100</v>
      </c>
      <c r="I37" s="677">
        <f ca="1">IF(ROWS($1:27)&gt;COUNT(Dong6),"",OFFSET(TH!K$1,SMALL(Dong6,ROWS($1:27)),))</f>
        <v>1166100</v>
      </c>
    </row>
    <row r="38" spans="1:9" s="791" customFormat="1" ht="21" customHeight="1">
      <c r="A38" s="799">
        <f ca="1">IF(ROWS($1:28)&gt;COUNT(Dong6),"",OFFSET(TH!C$1,SMALL(Dong6,ROWS($1:28)),))</f>
        <v>41837</v>
      </c>
      <c r="B38" s="800" t="str">
        <f ca="1">IF(ROWS($1:28)&gt;COUNT(Dong6),"",OFFSET(TH!D$1,SMALL(Dong6,ROWS($1:28)),))</f>
        <v>TP/X07</v>
      </c>
      <c r="C38" s="799">
        <f ca="1">IF(ROWS($1:28)&gt;COUNT(Dong6),"",OFFSET(TH!E$1,SMALL(Dong6,ROWS($1:28)),))</f>
        <v>41837</v>
      </c>
      <c r="D38" s="801" t="str">
        <f ca="1">IF(ROWS($1:28)&gt;COUNT(Dong6),"",OFFSET(TH!F$1,SMALL(Dong6,ROWS($1:28)),))</f>
        <v>Thùng (62x42x36)</v>
      </c>
      <c r="E38" s="800">
        <f t="shared" ca="1" si="0"/>
        <v>28</v>
      </c>
      <c r="F38" s="802" t="str">
        <f ca="1">IF(ROWS($1:28)&gt;COUNT(Dong6),"",OFFSET(TH!L$1,SMALL(Dong6,ROWS($1:28)),))</f>
        <v>131</v>
      </c>
      <c r="G38" s="802" t="str">
        <f ca="1">IF(ROWS($1:28)&gt;COUNT(Dong6),"",OFFSET(TH!M$1,SMALL(Dong6,ROWS($1:28)),))</f>
        <v>5112</v>
      </c>
      <c r="H38" s="677">
        <f ca="1">IF(ROWS($1:28)&gt;COUNT(Dong6),"",OFFSET(TH!K$1,SMALL(Dong6,ROWS($1:28)),))</f>
        <v>202350</v>
      </c>
      <c r="I38" s="677">
        <f ca="1">IF(ROWS($1:28)&gt;COUNT(Dong6),"",OFFSET(TH!K$1,SMALL(Dong6,ROWS($1:28)),))</f>
        <v>202350</v>
      </c>
    </row>
    <row r="39" spans="1:9" s="791" customFormat="1" ht="21" customHeight="1">
      <c r="A39" s="799">
        <f ca="1">IF(ROWS($1:29)&gt;COUNT(Dong6),"",OFFSET(TH!C$1,SMALL(Dong6,ROWS($1:29)),))</f>
        <v>41837</v>
      </c>
      <c r="B39" s="800" t="str">
        <f ca="1">IF(ROWS($1:29)&gt;COUNT(Dong6),"",OFFSET(TH!D$1,SMALL(Dong6,ROWS($1:29)),))</f>
        <v>TP/X07</v>
      </c>
      <c r="C39" s="799">
        <f ca="1">IF(ROWS($1:29)&gt;COUNT(Dong6),"",OFFSET(TH!E$1,SMALL(Dong6,ROWS($1:29)),))</f>
        <v>41837</v>
      </c>
      <c r="D39" s="801" t="str">
        <f ca="1">IF(ROWS($1:29)&gt;COUNT(Dong6),"",OFFSET(TH!F$1,SMALL(Dong6,ROWS($1:29)),))</f>
        <v>Thùng (39,5x39,5x25)</v>
      </c>
      <c r="E39" s="800">
        <f t="shared" ca="1" si="0"/>
        <v>29</v>
      </c>
      <c r="F39" s="802" t="str">
        <f ca="1">IF(ROWS($1:29)&gt;COUNT(Dong6),"",OFFSET(TH!L$1,SMALL(Dong6,ROWS($1:29)),))</f>
        <v>131</v>
      </c>
      <c r="G39" s="802" t="str">
        <f ca="1">IF(ROWS($1:29)&gt;COUNT(Dong6),"",OFFSET(TH!M$1,SMALL(Dong6,ROWS($1:29)),))</f>
        <v>5112</v>
      </c>
      <c r="H39" s="677">
        <f ca="1">IF(ROWS($1:29)&gt;COUNT(Dong6),"",OFFSET(TH!K$1,SMALL(Dong6,ROWS($1:29)),))</f>
        <v>360000</v>
      </c>
      <c r="I39" s="677">
        <f ca="1">IF(ROWS($1:29)&gt;COUNT(Dong6),"",OFFSET(TH!K$1,SMALL(Dong6,ROWS($1:29)),))</f>
        <v>360000</v>
      </c>
    </row>
    <row r="40" spans="1:9" s="791" customFormat="1" ht="21" customHeight="1">
      <c r="A40" s="799">
        <f ca="1">IF(ROWS($1:30)&gt;COUNT(Dong6),"",OFFSET(TH!C$1,SMALL(Dong6,ROWS($1:30)),))</f>
        <v>41837</v>
      </c>
      <c r="B40" s="800" t="str">
        <f ca="1">IF(ROWS($1:30)&gt;COUNT(Dong6),"",OFFSET(TH!D$1,SMALL(Dong6,ROWS($1:30)),))</f>
        <v>TP/X07</v>
      </c>
      <c r="C40" s="799">
        <f ca="1">IF(ROWS($1:30)&gt;COUNT(Dong6),"",OFFSET(TH!E$1,SMALL(Dong6,ROWS($1:30)),))</f>
        <v>41837</v>
      </c>
      <c r="D40" s="801" t="str">
        <f ca="1">IF(ROWS($1:30)&gt;COUNT(Dong6),"",OFFSET(TH!F$1,SMALL(Dong6,ROWS($1:30)),))</f>
        <v>Thùng (46,5x41,5x31)</v>
      </c>
      <c r="E40" s="800">
        <f t="shared" ca="1" si="0"/>
        <v>30</v>
      </c>
      <c r="F40" s="802" t="str">
        <f ca="1">IF(ROWS($1:30)&gt;COUNT(Dong6),"",OFFSET(TH!L$1,SMALL(Dong6,ROWS($1:30)),))</f>
        <v>131</v>
      </c>
      <c r="G40" s="802" t="str">
        <f ca="1">IF(ROWS($1:30)&gt;COUNT(Dong6),"",OFFSET(TH!M$1,SMALL(Dong6,ROWS($1:30)),))</f>
        <v>5112</v>
      </c>
      <c r="H40" s="677">
        <f ca="1">IF(ROWS($1:30)&gt;COUNT(Dong6),"",OFFSET(TH!K$1,SMALL(Dong6,ROWS($1:30)),))</f>
        <v>7876800</v>
      </c>
      <c r="I40" s="677">
        <f ca="1">IF(ROWS($1:30)&gt;COUNT(Dong6),"",OFFSET(TH!K$1,SMALL(Dong6,ROWS($1:30)),))</f>
        <v>7876800</v>
      </c>
    </row>
    <row r="41" spans="1:9" s="791" customFormat="1" ht="21" customHeight="1">
      <c r="A41" s="799">
        <f ca="1">IF(ROWS($1:31)&gt;COUNT(Dong6),"",OFFSET(TH!C$1,SMALL(Dong6,ROWS($1:31)),))</f>
        <v>41837</v>
      </c>
      <c r="B41" s="800" t="str">
        <f ca="1">IF(ROWS($1:31)&gt;COUNT(Dong6),"",OFFSET(TH!D$1,SMALL(Dong6,ROWS($1:31)),))</f>
        <v>TP/X07</v>
      </c>
      <c r="C41" s="799">
        <f ca="1">IF(ROWS($1:31)&gt;COUNT(Dong6),"",OFFSET(TH!E$1,SMALL(Dong6,ROWS($1:31)),))</f>
        <v>41837</v>
      </c>
      <c r="D41" s="801" t="str">
        <f ca="1">IF(ROWS($1:31)&gt;COUNT(Dong6),"",OFFSET(TH!F$1,SMALL(Dong6,ROWS($1:31)),))</f>
        <v>Thùng (45,5x41,5x25)</v>
      </c>
      <c r="E41" s="800">
        <f t="shared" ref="E41:E50" ca="1" si="1">IF(D41&lt;&gt;"",ROW()-10,"")</f>
        <v>31</v>
      </c>
      <c r="F41" s="802" t="str">
        <f ca="1">IF(ROWS($1:31)&gt;COUNT(Dong6),"",OFFSET(TH!L$1,SMALL(Dong6,ROWS($1:31)),))</f>
        <v>131</v>
      </c>
      <c r="G41" s="802" t="str">
        <f ca="1">IF(ROWS($1:31)&gt;COUNT(Dong6),"",OFFSET(TH!M$1,SMALL(Dong6,ROWS($1:31)),))</f>
        <v>5112</v>
      </c>
      <c r="H41" s="677">
        <f ca="1">IF(ROWS($1:31)&gt;COUNT(Dong6),"",OFFSET(TH!K$1,SMALL(Dong6,ROWS($1:31)),))</f>
        <v>3714800</v>
      </c>
      <c r="I41" s="677">
        <f ca="1">IF(ROWS($1:31)&gt;COUNT(Dong6),"",OFFSET(TH!K$1,SMALL(Dong6,ROWS($1:31)),))</f>
        <v>3714800</v>
      </c>
    </row>
    <row r="42" spans="1:9" s="791" customFormat="1" ht="21" customHeight="1">
      <c r="A42" s="799">
        <f ca="1">IF(ROWS($1:32)&gt;COUNT(Dong6),"",OFFSET(TH!C$1,SMALL(Dong6,ROWS($1:32)),))</f>
        <v>41837</v>
      </c>
      <c r="B42" s="800" t="str">
        <f ca="1">IF(ROWS($1:32)&gt;COUNT(Dong6),"",OFFSET(TH!D$1,SMALL(Dong6,ROWS($1:32)),))</f>
        <v>TP/X07</v>
      </c>
      <c r="C42" s="799">
        <f ca="1">IF(ROWS($1:32)&gt;COUNT(Dong6),"",OFFSET(TH!E$1,SMALL(Dong6,ROWS($1:32)),))</f>
        <v>41837</v>
      </c>
      <c r="D42" s="801" t="str">
        <f ca="1">IF(ROWS($1:32)&gt;COUNT(Dong6),"",OFFSET(TH!F$1,SMALL(Dong6,ROWS($1:32)),))</f>
        <v>VAT Thùng carton</v>
      </c>
      <c r="E42" s="800">
        <f t="shared" ca="1" si="1"/>
        <v>32</v>
      </c>
      <c r="F42" s="802" t="str">
        <f ca="1">IF(ROWS($1:32)&gt;COUNT(Dong6),"",OFFSET(TH!L$1,SMALL(Dong6,ROWS($1:32)),))</f>
        <v>131</v>
      </c>
      <c r="G42" s="802" t="str">
        <f ca="1">IF(ROWS($1:32)&gt;COUNT(Dong6),"",OFFSET(TH!M$1,SMALL(Dong6,ROWS($1:32)),))</f>
        <v>3331</v>
      </c>
      <c r="H42" s="677">
        <f ca="1">IF(ROWS($1:32)&gt;COUNT(Dong6),"",OFFSET(TH!K$1,SMALL(Dong6,ROWS($1:32)),))</f>
        <v>1332005</v>
      </c>
      <c r="I42" s="677">
        <f ca="1">IF(ROWS($1:32)&gt;COUNT(Dong6),"",OFFSET(TH!K$1,SMALL(Dong6,ROWS($1:32)),))</f>
        <v>1332005</v>
      </c>
    </row>
    <row r="43" spans="1:9" s="791" customFormat="1" ht="21" customHeight="1">
      <c r="A43" s="799">
        <f ca="1">IF(ROWS($1:33)&gt;COUNT(Dong6),"",OFFSET(TH!C$1,SMALL(Dong6,ROWS($1:33)),))</f>
        <v>41837</v>
      </c>
      <c r="B43" s="800" t="str">
        <f ca="1">IF(ROWS($1:33)&gt;COUNT(Dong6),"",OFFSET(TH!D$1,SMALL(Dong6,ROWS($1:33)),))</f>
        <v>TP/X08</v>
      </c>
      <c r="C43" s="799">
        <f ca="1">IF(ROWS($1:33)&gt;COUNT(Dong6),"",OFFSET(TH!E$1,SMALL(Dong6,ROWS($1:33)),))</f>
        <v>41837</v>
      </c>
      <c r="D43" s="801" t="str">
        <f ca="1">IF(ROWS($1:33)&gt;COUNT(Dong6),"",OFFSET(TH!F$1,SMALL(Dong6,ROWS($1:33)),))</f>
        <v>Thùng (42x26x33)</v>
      </c>
      <c r="E43" s="800">
        <f t="shared" ca="1" si="1"/>
        <v>33</v>
      </c>
      <c r="F43" s="802" t="str">
        <f ca="1">IF(ROWS($1:33)&gt;COUNT(Dong6),"",OFFSET(TH!L$1,SMALL(Dong6,ROWS($1:33)),))</f>
        <v>131</v>
      </c>
      <c r="G43" s="802" t="str">
        <f ca="1">IF(ROWS($1:33)&gt;COUNT(Dong6),"",OFFSET(TH!M$1,SMALL(Dong6,ROWS($1:33)),))</f>
        <v>5112</v>
      </c>
      <c r="H43" s="677">
        <f ca="1">IF(ROWS($1:33)&gt;COUNT(Dong6),"",OFFSET(TH!K$1,SMALL(Dong6,ROWS($1:33)),))</f>
        <v>4300000</v>
      </c>
      <c r="I43" s="677">
        <f ca="1">IF(ROWS($1:33)&gt;COUNT(Dong6),"",OFFSET(TH!K$1,SMALL(Dong6,ROWS($1:33)),))</f>
        <v>4300000</v>
      </c>
    </row>
    <row r="44" spans="1:9" s="791" customFormat="1" ht="21" customHeight="1">
      <c r="A44" s="799">
        <f ca="1">IF(ROWS($1:34)&gt;COUNT(Dong6),"",OFFSET(TH!C$1,SMALL(Dong6,ROWS($1:34)),))</f>
        <v>41837</v>
      </c>
      <c r="B44" s="800" t="str">
        <f ca="1">IF(ROWS($1:34)&gt;COUNT(Dong6),"",OFFSET(TH!D$1,SMALL(Dong6,ROWS($1:34)),))</f>
        <v>TP/X08</v>
      </c>
      <c r="C44" s="799">
        <f ca="1">IF(ROWS($1:34)&gt;COUNT(Dong6),"",OFFSET(TH!E$1,SMALL(Dong6,ROWS($1:34)),))</f>
        <v>41837</v>
      </c>
      <c r="D44" s="801" t="str">
        <f ca="1">IF(ROWS($1:34)&gt;COUNT(Dong6),"",OFFSET(TH!F$1,SMALL(Dong6,ROWS($1:34)),))</f>
        <v>Thùng (32,5x32,5x16)</v>
      </c>
      <c r="E44" s="800">
        <f t="shared" ca="1" si="1"/>
        <v>34</v>
      </c>
      <c r="F44" s="802" t="str">
        <f ca="1">IF(ROWS($1:34)&gt;COUNT(Dong6),"",OFFSET(TH!L$1,SMALL(Dong6,ROWS($1:34)),))</f>
        <v>131</v>
      </c>
      <c r="G44" s="802" t="str">
        <f ca="1">IF(ROWS($1:34)&gt;COUNT(Dong6),"",OFFSET(TH!M$1,SMALL(Dong6,ROWS($1:34)),))</f>
        <v>5112</v>
      </c>
      <c r="H44" s="677">
        <f ca="1">IF(ROWS($1:34)&gt;COUNT(Dong6),"",OFFSET(TH!K$1,SMALL(Dong6,ROWS($1:34)),))</f>
        <v>2870000</v>
      </c>
      <c r="I44" s="677">
        <f ca="1">IF(ROWS($1:34)&gt;COUNT(Dong6),"",OFFSET(TH!K$1,SMALL(Dong6,ROWS($1:34)),))</f>
        <v>2870000</v>
      </c>
    </row>
    <row r="45" spans="1:9" s="791" customFormat="1" ht="21" customHeight="1">
      <c r="A45" s="799">
        <f ca="1">IF(ROWS($1:35)&gt;COUNT(Dong6),"",OFFSET(TH!C$1,SMALL(Dong6,ROWS($1:35)),))</f>
        <v>41837</v>
      </c>
      <c r="B45" s="800" t="str">
        <f ca="1">IF(ROWS($1:35)&gt;COUNT(Dong6),"",OFFSET(TH!D$1,SMALL(Dong6,ROWS($1:35)),))</f>
        <v>TP/X08</v>
      </c>
      <c r="C45" s="799">
        <f ca="1">IF(ROWS($1:35)&gt;COUNT(Dong6),"",OFFSET(TH!E$1,SMALL(Dong6,ROWS($1:35)),))</f>
        <v>41837</v>
      </c>
      <c r="D45" s="801" t="str">
        <f ca="1">IF(ROWS($1:35)&gt;COUNT(Dong6),"",OFFSET(TH!F$1,SMALL(Dong6,ROWS($1:35)),))</f>
        <v>Thùng (49,5x38,5x32,5)</v>
      </c>
      <c r="E45" s="800">
        <f t="shared" ca="1" si="1"/>
        <v>35</v>
      </c>
      <c r="F45" s="802" t="str">
        <f ca="1">IF(ROWS($1:35)&gt;COUNT(Dong6),"",OFFSET(TH!L$1,SMALL(Dong6,ROWS($1:35)),))</f>
        <v>131</v>
      </c>
      <c r="G45" s="802" t="str">
        <f ca="1">IF(ROWS($1:35)&gt;COUNT(Dong6),"",OFFSET(TH!M$1,SMALL(Dong6,ROWS($1:35)),))</f>
        <v>5112</v>
      </c>
      <c r="H45" s="677">
        <f ca="1">IF(ROWS($1:35)&gt;COUNT(Dong6),"",OFFSET(TH!K$1,SMALL(Dong6,ROWS($1:35)),))</f>
        <v>3612000</v>
      </c>
      <c r="I45" s="677">
        <f ca="1">IF(ROWS($1:35)&gt;COUNT(Dong6),"",OFFSET(TH!K$1,SMALL(Dong6,ROWS($1:35)),))</f>
        <v>3612000</v>
      </c>
    </row>
    <row r="46" spans="1:9" s="791" customFormat="1" ht="21" customHeight="1">
      <c r="A46" s="799">
        <f ca="1">IF(ROWS($1:36)&gt;COUNT(Dong6),"",OFFSET(TH!C$1,SMALL(Dong6,ROWS($1:36)),))</f>
        <v>41837</v>
      </c>
      <c r="B46" s="800" t="str">
        <f ca="1">IF(ROWS($1:36)&gt;COUNT(Dong6),"",OFFSET(TH!D$1,SMALL(Dong6,ROWS($1:36)),))</f>
        <v>TP/X08</v>
      </c>
      <c r="C46" s="799">
        <f ca="1">IF(ROWS($1:36)&gt;COUNT(Dong6),"",OFFSET(TH!E$1,SMALL(Dong6,ROWS($1:36)),))</f>
        <v>41837</v>
      </c>
      <c r="D46" s="801" t="str">
        <f ca="1">IF(ROWS($1:36)&gt;COUNT(Dong6),"",OFFSET(TH!F$1,SMALL(Dong6,ROWS($1:36)),))</f>
        <v>VAT Thùng carton</v>
      </c>
      <c r="E46" s="800">
        <f t="shared" ca="1" si="1"/>
        <v>36</v>
      </c>
      <c r="F46" s="802" t="str">
        <f ca="1">IF(ROWS($1:36)&gt;COUNT(Dong6),"",OFFSET(TH!L$1,SMALL(Dong6,ROWS($1:36)),))</f>
        <v>131</v>
      </c>
      <c r="G46" s="802" t="str">
        <f ca="1">IF(ROWS($1:36)&gt;COUNT(Dong6),"",OFFSET(TH!M$1,SMALL(Dong6,ROWS($1:36)),))</f>
        <v>3331</v>
      </c>
      <c r="H46" s="677">
        <f ca="1">IF(ROWS($1:36)&gt;COUNT(Dong6),"",OFFSET(TH!K$1,SMALL(Dong6,ROWS($1:36)),))</f>
        <v>1078200</v>
      </c>
      <c r="I46" s="677">
        <f ca="1">IF(ROWS($1:36)&gt;COUNT(Dong6),"",OFFSET(TH!K$1,SMALL(Dong6,ROWS($1:36)),))</f>
        <v>1078200</v>
      </c>
    </row>
    <row r="47" spans="1:9" s="791" customFormat="1" ht="21" customHeight="1">
      <c r="A47" s="799">
        <f ca="1">IF(ROWS($1:37)&gt;COUNT(Dong6),"",OFFSET(TH!C$1,SMALL(Dong6,ROWS($1:37)),))</f>
        <v>41842</v>
      </c>
      <c r="B47" s="800" t="str">
        <f ca="1">IF(ROWS($1:37)&gt;COUNT(Dong6),"",OFFSET(TH!D$1,SMALL(Dong6,ROWS($1:37)),))</f>
        <v>TP/X09</v>
      </c>
      <c r="C47" s="799">
        <f ca="1">IF(ROWS($1:37)&gt;COUNT(Dong6),"",OFFSET(TH!E$1,SMALL(Dong6,ROWS($1:37)),))</f>
        <v>41842</v>
      </c>
      <c r="D47" s="801" t="str">
        <f ca="1">IF(ROWS($1:37)&gt;COUNT(Dong6),"",OFFSET(TH!F$1,SMALL(Dong6,ROWS($1:37)),))</f>
        <v>Thùng (56x48x17)</v>
      </c>
      <c r="E47" s="800">
        <f t="shared" ca="1" si="1"/>
        <v>37</v>
      </c>
      <c r="F47" s="802" t="str">
        <f ca="1">IF(ROWS($1:37)&gt;COUNT(Dong6),"",OFFSET(TH!L$1,SMALL(Dong6,ROWS($1:37)),))</f>
        <v>131</v>
      </c>
      <c r="G47" s="802" t="str">
        <f ca="1">IF(ROWS($1:37)&gt;COUNT(Dong6),"",OFFSET(TH!M$1,SMALL(Dong6,ROWS($1:37)),))</f>
        <v>5112</v>
      </c>
      <c r="H47" s="677">
        <f ca="1">IF(ROWS($1:37)&gt;COUNT(Dong6),"",OFFSET(TH!K$1,SMALL(Dong6,ROWS($1:37)),))</f>
        <v>8874900</v>
      </c>
      <c r="I47" s="677">
        <f ca="1">IF(ROWS($1:37)&gt;COUNT(Dong6),"",OFFSET(TH!K$1,SMALL(Dong6,ROWS($1:37)),))</f>
        <v>8874900</v>
      </c>
    </row>
    <row r="48" spans="1:9" s="791" customFormat="1" ht="21" customHeight="1">
      <c r="A48" s="799">
        <f ca="1">IF(ROWS($1:38)&gt;COUNT(Dong6),"",OFFSET(TH!C$1,SMALL(Dong6,ROWS($1:38)),))</f>
        <v>41842</v>
      </c>
      <c r="B48" s="800" t="str">
        <f ca="1">IF(ROWS($1:38)&gt;COUNT(Dong6),"",OFFSET(TH!D$1,SMALL(Dong6,ROWS($1:38)),))</f>
        <v>TP/X09</v>
      </c>
      <c r="C48" s="799">
        <f ca="1">IF(ROWS($1:38)&gt;COUNT(Dong6),"",OFFSET(TH!E$1,SMALL(Dong6,ROWS($1:38)),))</f>
        <v>41842</v>
      </c>
      <c r="D48" s="801" t="str">
        <f ca="1">IF(ROWS($1:38)&gt;COUNT(Dong6),"",OFFSET(TH!F$1,SMALL(Dong6,ROWS($1:38)),))</f>
        <v>Tấm lót (50x20)</v>
      </c>
      <c r="E48" s="800">
        <f t="shared" ca="1" si="1"/>
        <v>38</v>
      </c>
      <c r="F48" s="802" t="str">
        <f ca="1">IF(ROWS($1:38)&gt;COUNT(Dong6),"",OFFSET(TH!L$1,SMALL(Dong6,ROWS($1:38)),))</f>
        <v>131</v>
      </c>
      <c r="G48" s="802" t="str">
        <f ca="1">IF(ROWS($1:38)&gt;COUNT(Dong6),"",OFFSET(TH!M$1,SMALL(Dong6,ROWS($1:38)),))</f>
        <v>5112</v>
      </c>
      <c r="H48" s="677">
        <f ca="1">IF(ROWS($1:38)&gt;COUNT(Dong6),"",OFFSET(TH!K$1,SMALL(Dong6,ROWS($1:38)),))</f>
        <v>1539000</v>
      </c>
      <c r="I48" s="677">
        <f ca="1">IF(ROWS($1:38)&gt;COUNT(Dong6),"",OFFSET(TH!K$1,SMALL(Dong6,ROWS($1:38)),))</f>
        <v>1539000</v>
      </c>
    </row>
    <row r="49" spans="1:10" s="791" customFormat="1" ht="21" customHeight="1">
      <c r="A49" s="799">
        <f ca="1">IF(ROWS($1:39)&gt;COUNT(Dong6),"",OFFSET(TH!C$1,SMALL(Dong6,ROWS($1:39)),))</f>
        <v>41842</v>
      </c>
      <c r="B49" s="800" t="str">
        <f ca="1">IF(ROWS($1:39)&gt;COUNT(Dong6),"",OFFSET(TH!D$1,SMALL(Dong6,ROWS($1:39)),))</f>
        <v>TP/X09</v>
      </c>
      <c r="C49" s="799">
        <f ca="1">IF(ROWS($1:39)&gt;COUNT(Dong6),"",OFFSET(TH!E$1,SMALL(Dong6,ROWS($1:39)),))</f>
        <v>41842</v>
      </c>
      <c r="D49" s="801" t="str">
        <f ca="1">IF(ROWS($1:39)&gt;COUNT(Dong6),"",OFFSET(TH!F$1,SMALL(Dong6,ROWS($1:39)),))</f>
        <v>VAT Thùng carton</v>
      </c>
      <c r="E49" s="800">
        <f t="shared" ca="1" si="1"/>
        <v>39</v>
      </c>
      <c r="F49" s="802" t="str">
        <f ca="1">IF(ROWS($1:39)&gt;COUNT(Dong6),"",OFFSET(TH!L$1,SMALL(Dong6,ROWS($1:39)),))</f>
        <v>131</v>
      </c>
      <c r="G49" s="802" t="str">
        <f ca="1">IF(ROWS($1:39)&gt;COUNT(Dong6),"",OFFSET(TH!M$1,SMALL(Dong6,ROWS($1:39)),))</f>
        <v>3331</v>
      </c>
      <c r="H49" s="677">
        <f ca="1">IF(ROWS($1:39)&gt;COUNT(Dong6),"",OFFSET(TH!K$1,SMALL(Dong6,ROWS($1:39)),))</f>
        <v>1041390</v>
      </c>
      <c r="I49" s="677">
        <f ca="1">IF(ROWS($1:39)&gt;COUNT(Dong6),"",OFFSET(TH!K$1,SMALL(Dong6,ROWS($1:39)),))</f>
        <v>1041390</v>
      </c>
    </row>
    <row r="50" spans="1:10" s="791" customFormat="1" ht="21" customHeight="1">
      <c r="A50" s="799">
        <f ca="1">IF(ROWS($1:40)&gt;COUNT(Dong6),"",OFFSET(TH!C$1,SMALL(Dong6,ROWS($1:40)),))</f>
        <v>41842</v>
      </c>
      <c r="B50" s="800" t="str">
        <f ca="1">IF(ROWS($1:40)&gt;COUNT(Dong6),"",OFFSET(TH!D$1,SMALL(Dong6,ROWS($1:40)),))</f>
        <v>TP/X10</v>
      </c>
      <c r="C50" s="799">
        <f ca="1">IF(ROWS($1:40)&gt;COUNT(Dong6),"",OFFSET(TH!E$1,SMALL(Dong6,ROWS($1:40)),))</f>
        <v>41842</v>
      </c>
      <c r="D50" s="801" t="str">
        <f ca="1">IF(ROWS($1:40)&gt;COUNT(Dong6),"",OFFSET(TH!F$1,SMALL(Dong6,ROWS($1:40)),))</f>
        <v>Thùng (34x24x30)</v>
      </c>
      <c r="E50" s="800">
        <f t="shared" ca="1" si="1"/>
        <v>40</v>
      </c>
      <c r="F50" s="802" t="str">
        <f ca="1">IF(ROWS($1:40)&gt;COUNT(Dong6),"",OFFSET(TH!L$1,SMALL(Dong6,ROWS($1:40)),))</f>
        <v>131</v>
      </c>
      <c r="G50" s="802" t="str">
        <f ca="1">IF(ROWS($1:40)&gt;COUNT(Dong6),"",OFFSET(TH!M$1,SMALL(Dong6,ROWS($1:40)),))</f>
        <v>5112</v>
      </c>
      <c r="H50" s="677">
        <f ca="1">IF(ROWS($1:40)&gt;COUNT(Dong6),"",OFFSET(TH!K$1,SMALL(Dong6,ROWS($1:40)),))</f>
        <v>17600000</v>
      </c>
      <c r="I50" s="677">
        <f ca="1">IF(ROWS($1:40)&gt;COUNT(Dong6),"",OFFSET(TH!K$1,SMALL(Dong6,ROWS($1:40)),))</f>
        <v>17600000</v>
      </c>
    </row>
    <row r="51" spans="1:10" s="791" customFormat="1" ht="21" customHeight="1">
      <c r="A51" s="799"/>
      <c r="B51" s="800"/>
      <c r="C51" s="799"/>
      <c r="D51" s="801"/>
      <c r="E51" s="800"/>
      <c r="F51" s="802"/>
      <c r="G51" s="802"/>
      <c r="H51" s="677"/>
      <c r="I51" s="677"/>
    </row>
    <row r="52" spans="1:10" s="791" customFormat="1" ht="21" customHeight="1">
      <c r="A52" s="803"/>
      <c r="B52" s="803"/>
      <c r="C52" s="803"/>
      <c r="D52" s="804" t="s">
        <v>343</v>
      </c>
      <c r="E52" s="805" t="s">
        <v>19</v>
      </c>
      <c r="F52" s="805"/>
      <c r="G52" s="805" t="s">
        <v>19</v>
      </c>
      <c r="H52" s="806">
        <f ca="1">SUBTOTAL(9,$H$10:$H$51)</f>
        <v>7596674470</v>
      </c>
      <c r="I52" s="806">
        <f ca="1">SUBTOTAL(9,I10:I51)</f>
        <v>7596674470</v>
      </c>
    </row>
    <row r="53" spans="1:10" s="791" customFormat="1" ht="15">
      <c r="A53" s="807" t="s">
        <v>414</v>
      </c>
    </row>
    <row r="54" spans="1:10" s="791" customFormat="1" ht="15">
      <c r="A54" s="807" t="str">
        <f ca="1">"- Ngày mở sổ: "&amp;DAY($A$11)&amp;"/"&amp;MONTH($A$11)&amp;"/ " &amp;YEAR($A$11)</f>
        <v>- Ngày mở sổ: 1/7/ 2014</v>
      </c>
    </row>
    <row r="55" spans="1:10" s="791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8"/>
      <c r="J55" s="808"/>
    </row>
    <row r="56" spans="1:10" s="791" customFormat="1" ht="15">
      <c r="B56" s="808" t="s">
        <v>340</v>
      </c>
      <c r="D56" s="808" t="s">
        <v>12</v>
      </c>
      <c r="H56" s="808" t="s">
        <v>341</v>
      </c>
      <c r="I56" s="808"/>
      <c r="J56" s="808"/>
    </row>
    <row r="57" spans="1:10" s="791" customFormat="1" ht="15">
      <c r="B57" s="808" t="s">
        <v>13</v>
      </c>
      <c r="D57" s="808" t="s">
        <v>13</v>
      </c>
      <c r="H57" s="808" t="s">
        <v>136</v>
      </c>
      <c r="I57" s="808"/>
      <c r="J57" s="808"/>
    </row>
    <row r="58" spans="1:10" s="79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8" t="s">
        <v>145</v>
      </c>
      <c r="H2" s="998"/>
      <c r="I2" s="998"/>
    </row>
    <row r="3" spans="1:9" ht="15.75" customHeight="1">
      <c r="A3" s="1" t="str">
        <f>TH!A2</f>
        <v>Địa chỉ: 1A227/1 Ấp 1, Phạm Văn Hai, Bình Chánh, TPHCM</v>
      </c>
      <c r="G3" s="999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9"/>
      <c r="I3" s="999"/>
    </row>
    <row r="4" spans="1:9">
      <c r="F4" s="17"/>
      <c r="G4" s="999"/>
      <c r="H4" s="999"/>
      <c r="I4" s="999"/>
    </row>
    <row r="5" spans="1:9" ht="17.25" customHeight="1">
      <c r="A5" s="1000" t="s">
        <v>146</v>
      </c>
      <c r="B5" s="1000"/>
      <c r="C5" s="1000"/>
      <c r="D5" s="1000"/>
      <c r="E5" s="1000"/>
      <c r="F5" s="1000"/>
      <c r="G5" s="1000"/>
      <c r="H5" s="1000"/>
      <c r="I5" s="1000"/>
    </row>
    <row r="6" spans="1:9">
      <c r="A6" s="1001" t="s">
        <v>147</v>
      </c>
      <c r="B6" s="1002"/>
      <c r="C6" s="1002"/>
      <c r="D6" s="1002"/>
      <c r="E6" s="1002"/>
      <c r="F6" s="1002"/>
      <c r="G6" s="1002"/>
      <c r="H6" s="1002"/>
      <c r="I6" s="1002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2" t="s">
        <v>29</v>
      </c>
      <c r="B9" s="1003"/>
      <c r="C9" s="1003"/>
      <c r="D9" s="1003"/>
      <c r="E9" s="1003"/>
      <c r="F9" s="1003"/>
      <c r="G9" s="1003"/>
      <c r="H9" s="1003"/>
      <c r="I9" s="1003"/>
    </row>
    <row r="10" spans="1:9" ht="9.75" customHeight="1">
      <c r="C10" s="1004"/>
      <c r="D10" s="1005"/>
      <c r="E10" s="1005"/>
      <c r="F10" s="1005"/>
      <c r="G10" s="1005"/>
      <c r="H10" s="1005"/>
      <c r="I10" s="1005"/>
    </row>
    <row r="11" spans="1:9" s="18" customFormat="1" ht="19.5" customHeight="1">
      <c r="A11" s="1006" t="s">
        <v>20</v>
      </c>
      <c r="B11" s="996" t="s">
        <v>1</v>
      </c>
      <c r="C11" s="1007"/>
      <c r="D11" s="1006" t="s">
        <v>0</v>
      </c>
      <c r="E11" s="1006" t="s">
        <v>14</v>
      </c>
      <c r="F11" s="996" t="s">
        <v>21</v>
      </c>
      <c r="G11" s="1007"/>
      <c r="H11" s="996" t="s">
        <v>31</v>
      </c>
      <c r="I11" s="997"/>
    </row>
    <row r="12" spans="1:9" s="18" customFormat="1" ht="32.25" customHeight="1">
      <c r="A12" s="1006"/>
      <c r="B12" s="242" t="s">
        <v>15</v>
      </c>
      <c r="C12" s="242" t="s">
        <v>32</v>
      </c>
      <c r="D12" s="1006"/>
      <c r="E12" s="1006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157001740</v>
      </c>
      <c r="H15" s="247">
        <f ca="1">IF(D15&lt;&gt;"",MAX(H14+F15-G15-I14,0),0)</f>
        <v>0</v>
      </c>
      <c r="I15" s="247">
        <f ca="1">IF(D15&lt;&gt;"",MAX(I14+G15-H14-F15,0),0)</f>
        <v>157001740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5820000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151181740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5760000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145421740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5880000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139541740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5850000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133691740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5880000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127811740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5850000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121961740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15215000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106746740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15170000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91576740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15125000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76451740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15215000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61236740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15125000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46111740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15215000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5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5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5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5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20000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20000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45000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30346740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126655000</v>
      </c>
      <c r="G62" s="248">
        <f ca="1">SUM(G15:G61)</f>
        <v>157001740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5" t="str">
        <f ca="1">"Ngày 31 tháng  12  năm  "&amp;YEAR($A$15)</f>
        <v>Ngày 31 tháng  12  năm  2014</v>
      </c>
      <c r="F67" s="995"/>
      <c r="G67" s="995"/>
      <c r="H67" s="995"/>
      <c r="I67" s="995"/>
    </row>
    <row r="68" spans="1:9" s="18" customFormat="1" ht="12.75">
      <c r="A68" s="995" t="s">
        <v>11</v>
      </c>
      <c r="B68" s="995"/>
      <c r="C68" s="995"/>
      <c r="D68" s="995"/>
      <c r="E68" s="995" t="s">
        <v>12</v>
      </c>
      <c r="F68" s="995"/>
      <c r="G68" s="995"/>
      <c r="H68" s="995"/>
      <c r="I68" s="995"/>
    </row>
    <row r="69" spans="1:9" s="18" customFormat="1" ht="12.75">
      <c r="A69" s="995" t="s">
        <v>13</v>
      </c>
      <c r="B69" s="995"/>
      <c r="C69" s="995"/>
      <c r="D69" s="995"/>
      <c r="E69" s="995" t="s">
        <v>13</v>
      </c>
      <c r="F69" s="995"/>
      <c r="G69" s="995"/>
      <c r="H69" s="995"/>
      <c r="I69" s="99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08"/>
      <c r="B76" s="1008"/>
      <c r="C76" s="1008"/>
      <c r="D76" s="1008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8" t="s">
        <v>119</v>
      </c>
      <c r="H1" s="998"/>
      <c r="I1" s="998"/>
      <c r="J1" s="99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9"/>
      <c r="I2" s="999"/>
      <c r="J2" s="999"/>
    </row>
    <row r="3" spans="1:15" s="3" customFormat="1" ht="16.5" customHeight="1">
      <c r="A3" s="4"/>
      <c r="B3" s="16"/>
      <c r="C3" s="109"/>
      <c r="D3" s="109"/>
      <c r="E3" s="16"/>
      <c r="G3" s="999"/>
      <c r="H3" s="999"/>
      <c r="I3" s="999"/>
      <c r="J3" s="99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9" t="s">
        <v>120</v>
      </c>
      <c r="B5" s="1009"/>
      <c r="C5" s="1009"/>
      <c r="D5" s="1009"/>
      <c r="E5" s="1009"/>
      <c r="F5" s="1009"/>
      <c r="G5" s="1009"/>
      <c r="H5" s="1009"/>
      <c r="I5" s="1009"/>
      <c r="J5" s="1009"/>
    </row>
    <row r="6" spans="1:15" ht="14.25" customHeight="1">
      <c r="A6" s="1011" t="str">
        <f ca="1">$L$11&amp;" / "&amp;YEAR($A$14)</f>
        <v>Quý III / 2014</v>
      </c>
      <c r="B6" s="1011"/>
      <c r="C6" s="1011"/>
      <c r="D6" s="1011"/>
      <c r="E6" s="1011"/>
      <c r="F6" s="1011"/>
      <c r="G6" s="1011"/>
      <c r="H6" s="1011"/>
      <c r="I6" s="1011"/>
      <c r="J6" s="1011"/>
    </row>
    <row r="7" spans="1:15">
      <c r="A7" s="1010" t="s">
        <v>121</v>
      </c>
      <c r="B7" s="1010"/>
      <c r="C7" s="1010"/>
      <c r="D7" s="1010"/>
      <c r="E7" s="1010"/>
      <c r="F7" s="1010"/>
      <c r="G7" s="1010"/>
      <c r="H7" s="1010"/>
      <c r="I7" s="1010"/>
      <c r="J7" s="1010"/>
    </row>
    <row r="8" spans="1:15">
      <c r="A8" s="1010" t="s">
        <v>122</v>
      </c>
      <c r="B8" s="1010"/>
      <c r="C8" s="1010"/>
      <c r="D8" s="1010"/>
      <c r="E8" s="1010"/>
      <c r="F8" s="1010"/>
      <c r="G8" s="1010"/>
      <c r="H8" s="1010"/>
      <c r="I8" s="1010"/>
      <c r="J8" s="1010"/>
    </row>
    <row r="9" spans="1:15">
      <c r="A9" s="112"/>
      <c r="I9" s="112" t="s">
        <v>123</v>
      </c>
    </row>
    <row r="10" spans="1:15" ht="33" customHeight="1" thickBot="1">
      <c r="A10" s="1013" t="s">
        <v>20</v>
      </c>
      <c r="B10" s="1013" t="s">
        <v>124</v>
      </c>
      <c r="C10" s="1012" t="s">
        <v>125</v>
      </c>
      <c r="D10" s="1012"/>
      <c r="E10" s="1012" t="s">
        <v>0</v>
      </c>
      <c r="F10" s="1013" t="s">
        <v>14</v>
      </c>
      <c r="G10" s="1012" t="s">
        <v>21</v>
      </c>
      <c r="H10" s="1012"/>
      <c r="I10" s="1012" t="s">
        <v>126</v>
      </c>
      <c r="J10" s="1012" t="s">
        <v>127</v>
      </c>
      <c r="L10" s="577"/>
      <c r="N10" s="993" t="s">
        <v>325</v>
      </c>
      <c r="O10" s="993"/>
    </row>
    <row r="11" spans="1:15" ht="24" customHeight="1" thickBot="1">
      <c r="A11" s="1014"/>
      <c r="B11" s="1014"/>
      <c r="C11" s="113" t="s">
        <v>128</v>
      </c>
      <c r="D11" s="113" t="s">
        <v>129</v>
      </c>
      <c r="E11" s="1012"/>
      <c r="F11" s="1014"/>
      <c r="G11" s="113" t="s">
        <v>22</v>
      </c>
      <c r="H11" s="113" t="s">
        <v>23</v>
      </c>
      <c r="I11" s="1012"/>
      <c r="J11" s="1012"/>
      <c r="L11" s="178" t="s">
        <v>405</v>
      </c>
      <c r="N11" s="597">
        <f>IF(L11="Quý I",1,IF(L11="Quý II",4,IF(L11="Quý III",7,IF(L11="Quý IV",10,""))))</f>
        <v>7</v>
      </c>
      <c r="O11" s="59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8"/>
      <c r="O12" s="59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1698691429</v>
      </c>
      <c r="J13" s="117"/>
      <c r="N13" s="599"/>
      <c r="O13" s="599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46350000</v>
      </c>
      <c r="I14" s="121">
        <f ca="1">IF(E14&lt;&gt;"",I13+G14-H14,0)</f>
        <v>1652341429</v>
      </c>
      <c r="J14" s="126"/>
      <c r="N14" s="600"/>
      <c r="O14" s="600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46200000</v>
      </c>
      <c r="I15" s="121">
        <f t="shared" ref="I15:I62" ca="1" si="0">IF(E15&lt;&gt;"",I14+G15-H15,0)</f>
        <v>1606141429</v>
      </c>
      <c r="J15" s="126"/>
      <c r="N15" s="600"/>
      <c r="O15" s="600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46050000</v>
      </c>
      <c r="I16" s="121">
        <f t="shared" ca="1" si="0"/>
        <v>1560091429</v>
      </c>
      <c r="J16" s="126"/>
      <c r="N16" s="600"/>
      <c r="O16" s="600"/>
    </row>
    <row r="17" spans="1:15" ht="21.75" customHeight="1">
      <c r="A17" s="120">
        <f ca="1">IF(ROWS($1:4)&gt;COUNT(Dong1),"",OFFSET(TH!C$1,SMALL(Dong1,ROWS($1:4)),))</f>
        <v>41829</v>
      </c>
      <c r="B17" s="120">
        <f ca="1">IF(ROWS($1:4)&gt;COUNT(Dong1),"",OFFSET(TH!E$1,SMALL(Dong1,ROWS($1:4)),))</f>
        <v>41829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3300000</v>
      </c>
      <c r="I17" s="121">
        <f t="shared" ca="1" si="0"/>
        <v>1556791429</v>
      </c>
      <c r="J17" s="126"/>
      <c r="N17" s="600"/>
      <c r="O17" s="600"/>
    </row>
    <row r="18" spans="1:15" ht="21.75" customHeight="1">
      <c r="A18" s="120">
        <f ca="1">IF(ROWS($1:5)&gt;COUNT(Dong1),"",OFFSET(TH!C$1,SMALL(Dong1,ROWS($1:5)),))</f>
        <v>41871</v>
      </c>
      <c r="B18" s="120">
        <f ca="1">IF(ROWS($1:5)&gt;COUNT(Dong1),"",OFFSET(TH!E$1,SMALL(Dong1,ROWS($1:5)),))</f>
        <v>41871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18000000</v>
      </c>
      <c r="I18" s="121">
        <f t="shared" ca="1" si="0"/>
        <v>1538791429</v>
      </c>
      <c r="J18" s="126"/>
      <c r="N18" s="600"/>
      <c r="O18" s="600"/>
    </row>
    <row r="19" spans="1:15" ht="21.75" customHeight="1">
      <c r="A19" s="120">
        <f ca="1">IF(ROWS($1:6)&gt;COUNT(Dong1),"",OFFSET(TH!C$1,SMALL(Dong1,ROWS($1:6)),))</f>
        <v>41841</v>
      </c>
      <c r="B19" s="120">
        <f ca="1">IF(ROWS($1:6)&gt;COUNT(Dong1),"",OFFSET(TH!E$1,SMALL(Dong1,ROWS($1:6)),))</f>
        <v>41841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16600000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1555391429</v>
      </c>
      <c r="J19" s="126"/>
      <c r="N19" s="600"/>
      <c r="O19" s="600"/>
    </row>
    <row r="20" spans="1:15" ht="21.75" customHeight="1">
      <c r="A20" s="120">
        <f ca="1">IF(ROWS($1:7)&gt;COUNT(Dong1),"",OFFSET(TH!C$1,SMALL(Dong1,ROWS($1:7)),))</f>
        <v>41872</v>
      </c>
      <c r="B20" s="120">
        <f ca="1">IF(ROWS($1:7)&gt;COUNT(Dong1),"",OFFSET(TH!E$1,SMALL(Dong1,ROWS($1:7)),))</f>
        <v>41872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35000000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1590391429</v>
      </c>
      <c r="J20" s="126"/>
      <c r="N20" s="600"/>
      <c r="O20" s="600"/>
    </row>
    <row r="21" spans="1:15" ht="21.75" customHeight="1">
      <c r="A21" s="120">
        <f ca="1">IF(ROWS($1:8)&gt;COUNT(Dong1),"",OFFSET(TH!C$1,SMALL(Dong1,ROWS($1:8)),))</f>
        <v>41891</v>
      </c>
      <c r="B21" s="120">
        <f ca="1">IF(ROWS($1:8)&gt;COUNT(Dong1),"",OFFSET(TH!E$1,SMALL(Dong1,ROWS($1:8)),))</f>
        <v>41891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26300000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1616691429</v>
      </c>
      <c r="J21" s="126"/>
      <c r="N21" s="600"/>
      <c r="O21" s="600"/>
    </row>
    <row r="22" spans="1:15" ht="21.75" customHeight="1">
      <c r="A22" s="120">
        <f ca="1">IF(ROWS($1:9)&gt;COUNT(Dong1),"",OFFSET(TH!C$1,SMALL(Dong1,ROWS($1:9)),))</f>
        <v>41895</v>
      </c>
      <c r="B22" s="120">
        <f ca="1">IF(ROWS($1:9)&gt;COUNT(Dong1),"",OFFSET(TH!E$1,SMALL(Dong1,ROWS($1:9)),))</f>
        <v>41895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62600000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1679291429</v>
      </c>
      <c r="J22" s="126"/>
      <c r="N22" s="600"/>
      <c r="O22" s="600"/>
    </row>
    <row r="23" spans="1:15" ht="21.75" customHeight="1">
      <c r="A23" s="120">
        <f ca="1">IF(ROWS($1:10)&gt;COUNT(Dong1),"",OFFSET(TH!C$1,SMALL(Dong1,ROWS($1:10)),))</f>
        <v>41898</v>
      </c>
      <c r="B23" s="120">
        <f ca="1">IF(ROWS($1:10)&gt;COUNT(Dong1),"",OFFSET(TH!E$1,SMALL(Dong1,ROWS($1:10)),))</f>
        <v>41898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16800000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1696091429</v>
      </c>
      <c r="J23" s="126"/>
      <c r="N23" s="600"/>
      <c r="O23" s="600"/>
    </row>
    <row r="24" spans="1:15" ht="21.75" customHeight="1">
      <c r="A24" s="120">
        <f ca="1">IF(ROWS($1:11)&gt;COUNT(Dong1),"",OFFSET(TH!C$1,SMALL(Dong1,ROWS($1:11)),))</f>
        <v>41906</v>
      </c>
      <c r="B24" s="120">
        <f ca="1">IF(ROWS($1:11)&gt;COUNT(Dong1),"",OFFSET(TH!E$1,SMALL(Dong1,ROWS($1:11)),))</f>
        <v>41906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11500000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1707591429</v>
      </c>
      <c r="J24" s="126"/>
      <c r="N24" s="600"/>
      <c r="O24" s="600"/>
    </row>
    <row r="25" spans="1:15" ht="21.75" customHeight="1">
      <c r="A25" s="120">
        <f ca="1">IF(ROWS($1:12)&gt;COUNT(Dong1),"",OFFSET(TH!C$1,SMALL(Dong1,ROWS($1:12)),))</f>
        <v>41821</v>
      </c>
      <c r="B25" s="120">
        <f ca="1">IF(ROWS($1:12)&gt;COUNT(Dong1),"",OFFSET(TH!E$1,SMALL(Dong1,ROWS($1:12)),))</f>
        <v>41821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Thanh toán tiền hàng</v>
      </c>
      <c r="F25" s="124" t="str">
        <f ca="1">IF(ROWS($1:12)&gt;COUNT(Dong1),"",IF(OFFSET(TH!M$1,SMALL(Dong1,ROWS($1:12)),)="1111",OFFSET(TH!L$1,SMALL(Dong1,ROWS($1:12)),),OFFSET(TH!M$1,SMALL(Dong1,ROWS($1:12)),)))</f>
        <v>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1188000</v>
      </c>
      <c r="I25" s="121">
        <f t="shared" ca="1" si="0"/>
        <v>1706403429</v>
      </c>
      <c r="J25" s="126"/>
      <c r="N25" s="600"/>
      <c r="O25" s="600"/>
    </row>
    <row r="26" spans="1:15" ht="21.75" customHeight="1">
      <c r="A26" s="120">
        <f ca="1">IF(ROWS($1:13)&gt;COUNT(Dong1),"",OFFSET(TH!C$1,SMALL(Dong1,ROWS($1:13)),))</f>
        <v>41821</v>
      </c>
      <c r="B26" s="120">
        <f ca="1">IF(ROWS($1:13)&gt;COUNT(Dong1),"",OFFSET(TH!E$1,SMALL(Dong1,ROWS($1:13)),))</f>
        <v>41821</v>
      </c>
      <c r="C26" s="121" t="str">
        <f ca="1">IF(ROWS($1:13)&gt;COUNT(Dong1),"",IF(OFFSET(TH!L$1,SMALL(Dong1,ROWS($1:13)),)="1111",OFFSET(TH!D$1,SMALL(Dong1,ROWS($1:13)),),""))</f>
        <v/>
      </c>
      <c r="D26" s="122">
        <f ca="1">IF(ROWS($1:13)&gt;COUNT(Dong1),"",IF(OFFSET(TH!M$1,SMALL(Dong1,ROWS($1:13)),)="1111",OFFSET(TH!D$1,SMALL(Dong1,ROWS($1:13)),),""))</f>
        <v>0</v>
      </c>
      <c r="E26" s="229" t="str">
        <f ca="1">IF(ROWS($1:13)&gt;COUNT(Dong1),"",OFFSET(TH!F$1,SMALL(Dong1,ROWS($1:13)),))</f>
        <v>Thuế TNDN</v>
      </c>
      <c r="F26" s="124" t="str">
        <f ca="1">IF(ROWS($1:13)&gt;COUNT(Dong1),"",IF(OFFSET(TH!M$1,SMALL(Dong1,ROWS($1:13)),)="1111",OFFSET(TH!L$1,SMALL(Dong1,ROWS($1:13)),),OFFSET(TH!M$1,SMALL(Dong1,ROWS($1:13)),)))</f>
        <v>3334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731479</v>
      </c>
      <c r="I26" s="121">
        <f t="shared" ca="1" si="0"/>
        <v>1705671950</v>
      </c>
      <c r="J26" s="126"/>
      <c r="N26" s="600"/>
      <c r="O26" s="600"/>
    </row>
    <row r="27" spans="1:15" ht="21.75" customHeight="1">
      <c r="A27" s="120">
        <f ca="1">IF(ROWS($1:14)&gt;COUNT(Dong1),"",OFFSET(TH!C$1,SMALL(Dong1,ROWS($1:14)),))</f>
        <v>41821</v>
      </c>
      <c r="B27" s="120">
        <f ca="1">IF(ROWS($1:14)&gt;COUNT(Dong1),"",OFFSET(TH!E$1,SMALL(Dong1,ROWS($1:14)),))</f>
        <v>41821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Thuế GTGT</v>
      </c>
      <c r="F27" s="124" t="str">
        <f ca="1">IF(ROWS($1:14)&gt;COUNT(Dong1),"",IF(OFFSET(TH!M$1,SMALL(Dong1,ROWS($1:14)),)="1111",OFFSET(TH!L$1,SMALL(Dong1,ROWS($1:14)),),OFFSET(TH!M$1,SMALL(Dong1,ROWS($1:14)),)))</f>
        <v>3388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13656813</v>
      </c>
      <c r="I27" s="121">
        <f t="shared" ca="1" si="0"/>
        <v>1692015137</v>
      </c>
      <c r="J27" s="126"/>
      <c r="N27" s="600"/>
      <c r="O27" s="600"/>
    </row>
    <row r="28" spans="1:15" ht="21.75" customHeight="1">
      <c r="A28" s="120">
        <f ca="1">IF(ROWS($1:15)&gt;COUNT(Dong1),"",OFFSET(TH!C$1,SMALL(Dong1,ROWS($1:15)),))</f>
        <v>41821</v>
      </c>
      <c r="B28" s="120">
        <f ca="1">IF(ROWS($1:15)&gt;COUNT(Dong1),"",OFFSET(TH!E$1,SMALL(Dong1,ROWS($1:15)),))</f>
        <v>41821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Phạt chậm nộp</v>
      </c>
      <c r="F28" s="124" t="str">
        <f ca="1">IF(ROWS($1:15)&gt;COUNT(Dong1),"",IF(OFFSET(TH!M$1,SMALL(Dong1,ROWS($1:15)),)="1111",OFFSET(TH!L$1,SMALL(Dong1,ROWS($1:15)),),OFFSET(TH!M$1,SMALL(Dong1,ROWS($1:15)),)))</f>
        <v>811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1611708</v>
      </c>
      <c r="I28" s="121">
        <f t="shared" ca="1" si="0"/>
        <v>1690403429</v>
      </c>
      <c r="J28" s="126"/>
      <c r="N28" s="600"/>
      <c r="O28" s="600"/>
    </row>
    <row r="29" spans="1:15" ht="21.75" customHeight="1">
      <c r="A29" s="120">
        <f ca="1">IF(ROWS($1:16)&gt;COUNT(Dong1),"",OFFSET(TH!C$1,SMALL(Dong1,ROWS($1:16)),))</f>
        <v>41832</v>
      </c>
      <c r="B29" s="120">
        <f ca="1">IF(ROWS($1:16)&gt;COUNT(Dong1),"",OFFSET(TH!E$1,SMALL(Dong1,ROWS($1:16)),))</f>
        <v>41832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NL/N05</v>
      </c>
      <c r="E29" s="229" t="str">
        <f ca="1">IF(ROWS($1:16)&gt;COUNT(Dong1),"",OFFSET(TH!F$1,SMALL(Dong1,ROWS($1:16)),))</f>
        <v>Thanh toán tiền hàng</v>
      </c>
      <c r="F29" s="124" t="str">
        <f ca="1">IF(ROWS($1:16)&gt;COUNT(Dong1),"",IF(OFFSET(TH!M$1,SMALL(Dong1,ROWS($1:16)),)="1111",OFFSET(TH!L$1,SMALL(Dong1,ROWS($1:16)),),OFFSET(TH!M$1,SMALL(Dong1,ROWS($1:16)),)))</f>
        <v>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18471915</v>
      </c>
      <c r="I29" s="121">
        <f t="shared" ca="1" si="0"/>
        <v>1671931514</v>
      </c>
      <c r="J29" s="126"/>
      <c r="N29" s="600"/>
      <c r="O29" s="600"/>
    </row>
    <row r="30" spans="1:15" ht="21.75" customHeight="1">
      <c r="A30" s="120">
        <f ca="1">IF(ROWS($1:17)&gt;COUNT(Dong1),"",OFFSET(TH!C$1,SMALL(Dong1,ROWS($1:17)),))</f>
        <v>41836</v>
      </c>
      <c r="B30" s="120">
        <f ca="1">IF(ROWS($1:17)&gt;COUNT(Dong1),"",OFFSET(TH!E$1,SMALL(Dong1,ROWS($1:17)),))</f>
        <v>41836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Cước viễn thông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1061538</v>
      </c>
      <c r="I30" s="121">
        <f t="shared" ca="1" si="0"/>
        <v>1670869976</v>
      </c>
      <c r="J30" s="126"/>
      <c r="N30" s="600"/>
      <c r="O30" s="600"/>
    </row>
    <row r="31" spans="1:15" ht="21.75" customHeight="1">
      <c r="A31" s="120">
        <f ca="1">IF(ROWS($1:18)&gt;COUNT(Dong1),"",OFFSET(TH!C$1,SMALL(Dong1,ROWS($1:18)),))</f>
        <v>41836</v>
      </c>
      <c r="B31" s="120">
        <f ca="1">IF(ROWS($1:18)&gt;COUNT(Dong1),"",OFFSET(TH!E$1,SMALL(Dong1,ROWS($1:18)),))</f>
        <v>41836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VAT Cước viễn thông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106154</v>
      </c>
      <c r="I31" s="121">
        <f t="shared" ca="1" si="0"/>
        <v>1670763822</v>
      </c>
      <c r="J31" s="126"/>
      <c r="N31" s="600"/>
      <c r="O31" s="600"/>
    </row>
    <row r="32" spans="1:15" ht="21.75" customHeight="1">
      <c r="A32" s="120">
        <f ca="1">IF(ROWS($1:19)&gt;COUNT(Dong1),"",OFFSET(TH!C$1,SMALL(Dong1,ROWS($1:19)),))</f>
        <v>41838</v>
      </c>
      <c r="B32" s="120">
        <f ca="1">IF(ROWS($1:19)&gt;COUNT(Dong1),"",OFFSET(TH!E$1,SMALL(Dong1,ROWS($1:19)),))</f>
        <v>41838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4070000</v>
      </c>
      <c r="I32" s="121">
        <f t="shared" ca="1" si="0"/>
        <v>1666693822</v>
      </c>
      <c r="J32" s="126"/>
      <c r="N32" s="600"/>
      <c r="O32" s="600"/>
    </row>
    <row r="33" spans="1:15" ht="21.75" customHeight="1">
      <c r="A33" s="120">
        <f ca="1">IF(ROWS($1:20)&gt;COUNT(Dong1),"",OFFSET(TH!C$1,SMALL(Dong1,ROWS($1:20)),))</f>
        <v>41838</v>
      </c>
      <c r="B33" s="120">
        <f ca="1">IF(ROWS($1:20)&gt;COUNT(Dong1),"",OFFSET(TH!E$1,SMALL(Dong1,ROWS($1:20)),))</f>
        <v>41838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407000</v>
      </c>
      <c r="I33" s="121">
        <f t="shared" ca="1" si="0"/>
        <v>1666286822</v>
      </c>
      <c r="J33" s="126"/>
      <c r="N33" s="600"/>
      <c r="O33" s="600"/>
    </row>
    <row r="34" spans="1:15" ht="21.75" customHeight="1">
      <c r="A34" s="120">
        <f ca="1">IF(ROWS($1:21)&gt;COUNT(Dong1),"",OFFSET(TH!C$1,SMALL(Dong1,ROWS($1:21)),))</f>
        <v>41842</v>
      </c>
      <c r="B34" s="120">
        <f ca="1">IF(ROWS($1:21)&gt;COUNT(Dong1),"",OFFSET(TH!E$1,SMALL(Dong1,ROWS($1:21)),))</f>
        <v>41842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18150000</v>
      </c>
      <c r="I34" s="121">
        <f t="shared" ca="1" si="0"/>
        <v>1648136822</v>
      </c>
      <c r="J34" s="126"/>
      <c r="N34" s="600"/>
      <c r="O34" s="600"/>
    </row>
    <row r="35" spans="1:15" ht="21.75" customHeight="1">
      <c r="A35" s="120">
        <f ca="1">IF(ROWS($1:22)&gt;COUNT(Dong1),"",OFFSET(TH!C$1,SMALL(Dong1,ROWS($1:22)),))</f>
        <v>41844</v>
      </c>
      <c r="B35" s="120">
        <f ca="1">IF(ROWS($1:22)&gt;COUNT(Dong1),"",OFFSET(TH!E$1,SMALL(Dong1,ROWS($1:22)),))</f>
        <v>41844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853620</v>
      </c>
      <c r="I35" s="121">
        <f t="shared" ca="1" si="0"/>
        <v>1647283202</v>
      </c>
      <c r="J35" s="126"/>
      <c r="N35" s="600"/>
      <c r="O35" s="600"/>
    </row>
    <row r="36" spans="1:15" ht="21.75" customHeight="1">
      <c r="A36" s="120">
        <f ca="1">IF(ROWS($1:23)&gt;COUNT(Dong1),"",OFFSET(TH!C$1,SMALL(Dong1,ROWS($1:23)),))</f>
        <v>41844</v>
      </c>
      <c r="B36" s="120">
        <f ca="1">IF(ROWS($1:23)&gt;COUNT(Dong1),"",OFFSET(TH!E$1,SMALL(Dong1,ROWS($1:23)),))</f>
        <v>41844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85362</v>
      </c>
      <c r="I36" s="121">
        <f t="shared" ca="1" si="0"/>
        <v>1647197840</v>
      </c>
      <c r="J36" s="126"/>
      <c r="N36" s="600"/>
      <c r="O36" s="600"/>
    </row>
    <row r="37" spans="1:15" ht="21.75" customHeight="1">
      <c r="A37" s="120">
        <f ca="1">IF(ROWS($1:24)&gt;COUNT(Dong1),"",OFFSET(TH!C$1,SMALL(Dong1,ROWS($1:24)),))</f>
        <v>41845</v>
      </c>
      <c r="B37" s="120">
        <f ca="1">IF(ROWS($1:24)&gt;COUNT(Dong1),"",OFFSET(TH!E$1,SMALL(Dong1,ROWS($1:24)),))</f>
        <v>41845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Thuế GTGT</v>
      </c>
      <c r="F37" s="124" t="str">
        <f ca="1">IF(ROWS($1:24)&gt;COUNT(Dong1),"",IF(OFFSET(TH!M$1,SMALL(Dong1,ROWS($1:24)),)="1111",OFFSET(TH!L$1,SMALL(Dong1,ROWS($1:24)),),OFFSET(TH!M$1,SMALL(Dong1,ROWS($1:24)),)))</f>
        <v>3388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3000000</v>
      </c>
      <c r="I37" s="121">
        <f t="shared" ca="1" si="0"/>
        <v>1644197840</v>
      </c>
      <c r="J37" s="126"/>
      <c r="N37" s="600"/>
      <c r="O37" s="600"/>
    </row>
    <row r="38" spans="1:15" ht="21.75" customHeight="1">
      <c r="A38" s="120">
        <f ca="1">IF(ROWS($1:25)&gt;COUNT(Dong1),"",OFFSET(TH!C$1,SMALL(Dong1,ROWS($1:25)),))</f>
        <v>41882</v>
      </c>
      <c r="B38" s="120">
        <f ca="1">IF(ROWS($1:25)&gt;COUNT(Dong1),"",OFFSET(TH!E$1,SMALL(Dong1,ROWS($1:25)),))</f>
        <v>41882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NL/N14</v>
      </c>
      <c r="E38" s="229" t="str">
        <f ca="1">IF(ROWS($1:25)&gt;COUNT(Dong1),"",OFFSET(TH!F$1,SMALL(Dong1,ROWS($1:25)),))</f>
        <v>VAT Giấy cuộn trắng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6928320</v>
      </c>
      <c r="I38" s="121">
        <f t="shared" ca="1" si="0"/>
        <v>1637269520</v>
      </c>
      <c r="J38" s="126"/>
      <c r="N38" s="600"/>
      <c r="O38" s="600"/>
    </row>
    <row r="39" spans="1:15" ht="21.75" customHeight="1">
      <c r="A39" s="120">
        <f ca="1">IF(ROWS($1:26)&gt;COUNT(Dong1),"",OFFSET(TH!C$1,SMALL(Dong1,ROWS($1:26)),))</f>
        <v>41849</v>
      </c>
      <c r="B39" s="120">
        <f ca="1">IF(ROWS($1:26)&gt;COUNT(Dong1),"",OFFSET(TH!E$1,SMALL(Dong1,ROWS($1:26)),))</f>
        <v>41849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NL/N15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19557120</v>
      </c>
      <c r="I39" s="121">
        <f t="shared" ca="1" si="0"/>
        <v>1617712400</v>
      </c>
      <c r="J39" s="126"/>
      <c r="N39" s="600"/>
      <c r="O39" s="600"/>
    </row>
    <row r="40" spans="1:15" ht="21.75" customHeight="1">
      <c r="A40" s="120">
        <f ca="1">IF(ROWS($1:27)&gt;COUNT(Dong1),"",OFFSET(TH!C$1,SMALL(Dong1,ROWS($1:27)),))</f>
        <v>41850</v>
      </c>
      <c r="B40" s="120">
        <f ca="1">IF(ROWS($1:27)&gt;COUNT(Dong1),"",OFFSET(TH!E$1,SMALL(Dong1,ROWS($1:27)),))</f>
        <v>41850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18150000</v>
      </c>
      <c r="I40" s="121">
        <f t="shared" ca="1" si="0"/>
        <v>1599562400</v>
      </c>
      <c r="J40" s="126"/>
      <c r="N40" s="600"/>
      <c r="O40" s="600"/>
    </row>
    <row r="41" spans="1:15" ht="21.75" customHeight="1">
      <c r="A41" s="120">
        <f ca="1">IF(ROWS($1:28)&gt;COUNT(Dong1),"",OFFSET(TH!C$1,SMALL(Dong1,ROWS($1:28)),))</f>
        <v>41851</v>
      </c>
      <c r="B41" s="120">
        <f ca="1">IF(ROWS($1:28)&gt;COUNT(Dong1),"",OFFSET(TH!E$1,SMALL(Dong1,ROWS($1:28)),))</f>
        <v>41851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8800000</v>
      </c>
      <c r="I41" s="121">
        <f t="shared" ca="1" si="0"/>
        <v>1590762400</v>
      </c>
      <c r="J41" s="126"/>
      <c r="N41" s="600"/>
      <c r="O41" s="600"/>
    </row>
    <row r="42" spans="1:15" ht="21.75" customHeight="1">
      <c r="A42" s="120">
        <f ca="1">IF(ROWS($1:29)&gt;COUNT(Dong1),"",OFFSET(TH!C$1,SMALL(Dong1,ROWS($1:29)),))</f>
        <v>41857</v>
      </c>
      <c r="B42" s="120">
        <f ca="1">IF(ROWS($1:29)&gt;COUNT(Dong1),"",OFFSET(TH!E$1,SMALL(Dong1,ROWS($1:29)),))</f>
        <v>41857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Cước viễn thông</v>
      </c>
      <c r="F42" s="124" t="str">
        <f ca="1">IF(ROWS($1:29)&gt;COUNT(Dong1),"",IF(OFFSET(TH!M$1,SMALL(Dong1,ROWS($1:29)),)="1111",OFFSET(TH!L$1,SMALL(Dong1,ROWS($1:29)),),OFFSET(TH!M$1,SMALL(Dong1,ROWS($1:29)),)))</f>
        <v>642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521108</v>
      </c>
      <c r="I42" s="121">
        <f t="shared" ca="1" si="0"/>
        <v>1590241292</v>
      </c>
      <c r="J42" s="126"/>
      <c r="N42" s="600"/>
      <c r="O42" s="600"/>
    </row>
    <row r="43" spans="1:15" ht="21.75" customHeight="1">
      <c r="A43" s="120">
        <f ca="1">IF(ROWS($1:30)&gt;COUNT(Dong1),"",OFFSET(TH!C$1,SMALL(Dong1,ROWS($1:30)),))</f>
        <v>41857</v>
      </c>
      <c r="B43" s="120">
        <f ca="1">IF(ROWS($1:30)&gt;COUNT(Dong1),"",OFFSET(TH!E$1,SMALL(Dong1,ROWS($1:30)),))</f>
        <v>41857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VAT Cước viễn thông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52111</v>
      </c>
      <c r="I43" s="121">
        <f t="shared" ca="1" si="0"/>
        <v>1590189181</v>
      </c>
      <c r="J43" s="126"/>
      <c r="N43" s="600"/>
      <c r="O43" s="600"/>
    </row>
    <row r="44" spans="1:15" ht="21.75" customHeight="1">
      <c r="A44" s="120">
        <f ca="1">IF(ROWS($1:31)&gt;COUNT(Dong1),"",OFFSET(TH!C$1,SMALL(Dong1,ROWS($1:31)),))</f>
        <v>41857</v>
      </c>
      <c r="B44" s="120">
        <f ca="1">IF(ROWS($1:31)&gt;COUNT(Dong1),"",OFFSET(TH!E$1,SMALL(Dong1,ROWS($1:31)),))</f>
        <v>41857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18150000</v>
      </c>
      <c r="I44" s="121">
        <f t="shared" ca="1" si="0"/>
        <v>1572039181</v>
      </c>
      <c r="J44" s="126"/>
      <c r="N44" s="600"/>
      <c r="O44" s="600"/>
    </row>
    <row r="45" spans="1:15" ht="21.75" customHeight="1">
      <c r="A45" s="120">
        <f ca="1">IF(ROWS($1:32)&gt;COUNT(Dong1),"",OFFSET(TH!C$1,SMALL(Dong1,ROWS($1:32)),))</f>
        <v>41858</v>
      </c>
      <c r="B45" s="120">
        <f ca="1">IF(ROWS($1:32)&gt;COUNT(Dong1),"",OFFSET(TH!E$1,SMALL(Dong1,ROWS($1:32)),))</f>
        <v>41858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19800000</v>
      </c>
      <c r="I45" s="121">
        <f t="shared" ca="1" si="0"/>
        <v>1552239181</v>
      </c>
      <c r="J45" s="126"/>
      <c r="N45" s="600"/>
      <c r="O45" s="600"/>
    </row>
    <row r="46" spans="1:15" ht="21.75" customHeight="1">
      <c r="A46" s="120">
        <f ca="1">IF(ROWS($1:33)&gt;COUNT(Dong1),"",OFFSET(TH!C$1,SMALL(Dong1,ROWS($1:33)),))</f>
        <v>41870</v>
      </c>
      <c r="B46" s="120">
        <f ca="1">IF(ROWS($1:33)&gt;COUNT(Dong1),"",OFFSET(TH!E$1,SMALL(Dong1,ROWS($1:33)),))</f>
        <v>41870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1188000</v>
      </c>
      <c r="I46" s="121">
        <f t="shared" ca="1" si="0"/>
        <v>1551051181</v>
      </c>
      <c r="J46" s="126"/>
      <c r="N46" s="600"/>
      <c r="O46" s="600"/>
    </row>
    <row r="47" spans="1:15" ht="21.75" customHeight="1">
      <c r="A47" s="120">
        <f ca="1">IF(ROWS($1:34)&gt;COUNT(Dong1),"",OFFSET(TH!C$1,SMALL(Dong1,ROWS($1:34)),))</f>
        <v>41872</v>
      </c>
      <c r="B47" s="120">
        <f ca="1">IF(ROWS($1:34)&gt;COUNT(Dong1),"",OFFSET(TH!E$1,SMALL(Dong1,ROWS($1:34)),))</f>
        <v>41872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Văn phòng phẩm</v>
      </c>
      <c r="F47" s="124" t="str">
        <f ca="1">IF(ROWS($1:34)&gt;COUNT(Dong1),"",IF(OFFSET(TH!M$1,SMALL(Dong1,ROWS($1:34)),)="1111",OFFSET(TH!L$1,SMALL(Dong1,ROWS($1:34)),),OFFSET(TH!M$1,SMALL(Dong1,ROWS($1:34)),)))</f>
        <v>642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857635</v>
      </c>
      <c r="I47" s="121">
        <f t="shared" ca="1" si="0"/>
        <v>1550193546</v>
      </c>
      <c r="J47" s="126"/>
      <c r="N47" s="600"/>
      <c r="O47" s="600"/>
    </row>
    <row r="48" spans="1:15" ht="21.75" customHeight="1">
      <c r="A48" s="120">
        <f ca="1">IF(ROWS($1:35)&gt;COUNT(Dong1),"",OFFSET(TH!C$1,SMALL(Dong1,ROWS($1:35)),))</f>
        <v>41872</v>
      </c>
      <c r="B48" s="120">
        <f ca="1">IF(ROWS($1:35)&gt;COUNT(Dong1),"",OFFSET(TH!E$1,SMALL(Dong1,ROWS($1:35)),))</f>
        <v>41872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VAT Văn phòng phẩm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85425</v>
      </c>
      <c r="I48" s="121">
        <f t="shared" ca="1" si="0"/>
        <v>1550108121</v>
      </c>
      <c r="J48" s="126"/>
      <c r="N48" s="600"/>
      <c r="O48" s="600"/>
    </row>
    <row r="49" spans="1:15" ht="21.75" customHeight="1">
      <c r="A49" s="120">
        <f ca="1">IF(ROWS($1:36)&gt;COUNT(Dong1),"",OFFSET(TH!C$1,SMALL(Dong1,ROWS($1:36)),))</f>
        <v>41873</v>
      </c>
      <c r="B49" s="120">
        <f ca="1">IF(ROWS($1:36)&gt;COUNT(Dong1),"",OFFSET(TH!E$1,SMALL(Dong1,ROWS($1:36)),))</f>
        <v>41873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18150000</v>
      </c>
      <c r="I49" s="121">
        <f t="shared" ca="1" si="0"/>
        <v>1531958121</v>
      </c>
      <c r="J49" s="126"/>
      <c r="N49" s="600"/>
      <c r="O49" s="600"/>
    </row>
    <row r="50" spans="1:15" ht="21.75" customHeight="1">
      <c r="A50" s="120">
        <f ca="1">IF(ROWS($1:37)&gt;COUNT(Dong1),"",OFFSET(TH!C$1,SMALL(Dong1,ROWS($1:37)),))</f>
        <v>41875</v>
      </c>
      <c r="B50" s="120">
        <f ca="1">IF(ROWS($1:37)&gt;COUNT(Dong1),"",OFFSET(TH!E$1,SMALL(Dong1,ROWS($1:37)),))</f>
        <v>41875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Tiền điện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966048</v>
      </c>
      <c r="I50" s="121">
        <f t="shared" ca="1" si="0"/>
        <v>1530992073</v>
      </c>
      <c r="J50" s="126"/>
    </row>
    <row r="51" spans="1:15" ht="21.75" customHeight="1">
      <c r="A51" s="120">
        <f ca="1">IF(ROWS($1:38)&gt;COUNT(Dong1),"",OFFSET(TH!C$1,SMALL(Dong1,ROWS($1:38)),))</f>
        <v>41875</v>
      </c>
      <c r="B51" s="120">
        <f ca="1">IF(ROWS($1:38)&gt;COUNT(Dong1),"",OFFSET(TH!E$1,SMALL(Dong1,ROWS($1:38)),))</f>
        <v>41875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VAT Tiền điện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96605</v>
      </c>
      <c r="I51" s="121">
        <f t="shared" ca="1" si="0"/>
        <v>1530895468</v>
      </c>
      <c r="J51" s="126"/>
    </row>
    <row r="52" spans="1:15" ht="21.75" customHeight="1">
      <c r="A52" s="120">
        <f ca="1">IF(ROWS($1:39)&gt;COUNT(Dong1),"",OFFSET(TH!C$1,SMALL(Dong1,ROWS($1:39)),))</f>
        <v>41881</v>
      </c>
      <c r="B52" s="120">
        <f ca="1">IF(ROWS($1:39)&gt;COUNT(Dong1),"",OFFSET(TH!E$1,SMALL(Dong1,ROWS($1:39)),))</f>
        <v>41881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Mực in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2420000</v>
      </c>
      <c r="I52" s="121">
        <f t="shared" ca="1" si="0"/>
        <v>1528475468</v>
      </c>
      <c r="J52" s="126"/>
    </row>
    <row r="53" spans="1:15" ht="21.75" customHeight="1">
      <c r="A53" s="120">
        <f ca="1">IF(ROWS($1:40)&gt;COUNT(Dong1),"",OFFSET(TH!C$1,SMALL(Dong1,ROWS($1:40)),))</f>
        <v>41881</v>
      </c>
      <c r="B53" s="120">
        <f ca="1">IF(ROWS($1:40)&gt;COUNT(Dong1),"",OFFSET(TH!E$1,SMALL(Dong1,ROWS($1:40)),))</f>
        <v>41881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242000</v>
      </c>
      <c r="I53" s="121">
        <f t="shared" ca="1" si="0"/>
        <v>1528233468</v>
      </c>
      <c r="J53" s="126"/>
    </row>
    <row r="54" spans="1:15" ht="21.75" customHeight="1">
      <c r="A54" s="120">
        <f ca="1">IF(ROWS($1:41)&gt;COUNT(Dong1),"",OFFSET(TH!C$1,SMALL(Dong1,ROWS($1:41)),))</f>
        <v>41889</v>
      </c>
      <c r="B54" s="120">
        <f ca="1">IF(ROWS($1:41)&gt;COUNT(Dong1),"",OFFSET(TH!E$1,SMALL(Dong1,ROWS($1:41)),))</f>
        <v>41889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Cước viễn thông</v>
      </c>
      <c r="F54" s="124" t="str">
        <f ca="1">IF(ROWS($1:41)&gt;COUNT(Dong1),"",IF(OFFSET(TH!M$1,SMALL(Dong1,ROWS($1:41)),)="1111",OFFSET(TH!L$1,SMALL(Dong1,ROWS($1:41)),),OFFSET(TH!M$1,SMALL(Dong1,ROWS($1:41)),)))</f>
        <v>642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607871</v>
      </c>
      <c r="I54" s="121">
        <f t="shared" ca="1" si="0"/>
        <v>1527625597</v>
      </c>
      <c r="J54" s="126"/>
    </row>
    <row r="55" spans="1:15" ht="21.75" customHeight="1">
      <c r="A55" s="120">
        <f ca="1">IF(ROWS($1:42)&gt;COUNT(Dong1),"",OFFSET(TH!C$1,SMALL(Dong1,ROWS($1:42)),))</f>
        <v>41889</v>
      </c>
      <c r="B55" s="120">
        <f ca="1">IF(ROWS($1:42)&gt;COUNT(Dong1),"",OFFSET(TH!E$1,SMALL(Dong1,ROWS($1:42)),))</f>
        <v>41889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VAT Cước viễn thông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60787</v>
      </c>
      <c r="I55" s="121">
        <f t="shared" ca="1" si="0"/>
        <v>1527564810</v>
      </c>
      <c r="J55" s="126"/>
    </row>
    <row r="56" spans="1:15" ht="21.75" customHeight="1">
      <c r="A56" s="120">
        <f ca="1">IF(ROWS($1:43)&gt;COUNT(Dong1),"",OFFSET(TH!C$1,SMALL(Dong1,ROWS($1:43)),))</f>
        <v>41897</v>
      </c>
      <c r="B56" s="120">
        <f ca="1">IF(ROWS($1:43)&gt;COUNT(Dong1),"",OFFSET(TH!E$1,SMALL(Dong1,ROWS($1:43)),))</f>
        <v>41897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Mực in</v>
      </c>
      <c r="F56" s="124" t="str">
        <f ca="1">IF(ROWS($1:43)&gt;COUNT(Dong1),"",IF(OFFSET(TH!M$1,SMALL(Dong1,ROWS($1:43)),)="1111",OFFSET(TH!L$1,SMALL(Dong1,ROWS($1:43)),),OFFSET(TH!M$1,SMALL(Dong1,ROWS($1:43)),)))</f>
        <v>154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4665000</v>
      </c>
      <c r="I56" s="121">
        <f t="shared" ca="1" si="0"/>
        <v>1522899810</v>
      </c>
      <c r="J56" s="126"/>
    </row>
    <row r="57" spans="1:15" ht="21.75" customHeight="1">
      <c r="A57" s="120">
        <f ca="1">IF(ROWS($1:44)&gt;COUNT(Dong1),"",OFFSET(TH!C$1,SMALL(Dong1,ROWS($1:44)),))</f>
        <v>41897</v>
      </c>
      <c r="B57" s="120">
        <f ca="1">IF(ROWS($1:44)&gt;COUNT(Dong1),"",OFFSET(TH!E$1,SMALL(Dong1,ROWS($1:44)),))</f>
        <v>41897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VAT Mực in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466500</v>
      </c>
      <c r="I57" s="121">
        <f t="shared" ca="1" si="0"/>
        <v>1522433310</v>
      </c>
      <c r="J57" s="126"/>
    </row>
    <row r="58" spans="1:15" ht="21.75" customHeight="1">
      <c r="A58" s="120">
        <f ca="1">IF(ROWS($1:45)&gt;COUNT(Dong1),"",OFFSET(TH!C$1,SMALL(Dong1,ROWS($1:45)),))</f>
        <v>41900</v>
      </c>
      <c r="B58" s="120">
        <f ca="1">IF(ROWS($1:45)&gt;COUNT(Dong1),"",OFFSET(TH!E$1,SMALL(Dong1,ROWS($1:45)),))</f>
        <v>41900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19800000</v>
      </c>
      <c r="I58" s="121">
        <f t="shared" ca="1" si="0"/>
        <v>1502633310</v>
      </c>
      <c r="J58" s="126"/>
    </row>
    <row r="59" spans="1:15" ht="21.75" customHeight="1">
      <c r="A59" s="120">
        <f ca="1">IF(ROWS($1:46)&gt;COUNT(Dong1),"",OFFSET(TH!C$1,SMALL(Dong1,ROWS($1:46)),))</f>
        <v>41901</v>
      </c>
      <c r="B59" s="120">
        <f ca="1">IF(ROWS($1:46)&gt;COUNT(Dong1),"",OFFSET(TH!E$1,SMALL(Dong1,ROWS($1:46)),))</f>
        <v>41901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19800000</v>
      </c>
      <c r="I59" s="121">
        <f t="shared" ca="1" si="0"/>
        <v>1482833310</v>
      </c>
      <c r="J59" s="126"/>
    </row>
    <row r="60" spans="1:15" ht="21.75" customHeight="1">
      <c r="A60" s="120">
        <f ca="1">IF(ROWS($1:47)&gt;COUNT(Dong1),"",OFFSET(TH!C$1,SMALL(Dong1,ROWS($1:47)),))</f>
        <v>41902</v>
      </c>
      <c r="B60" s="120">
        <f ca="1">IF(ROWS($1:47)&gt;COUNT(Dong1),"",OFFSET(TH!E$1,SMALL(Dong1,ROWS($1:47)),))</f>
        <v>41902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1188000</v>
      </c>
      <c r="I60" s="121">
        <f t="shared" ca="1" si="0"/>
        <v>1481645310</v>
      </c>
      <c r="J60" s="126"/>
    </row>
    <row r="61" spans="1:15" ht="21.75" customHeight="1">
      <c r="A61" s="120">
        <f ca="1">IF(ROWS($1:48)&gt;COUNT(Dong1),"",OFFSET(TH!C$1,SMALL(Dong1,ROWS($1:48)),))</f>
        <v>41907</v>
      </c>
      <c r="B61" s="120">
        <f ca="1">IF(ROWS($1:48)&gt;COUNT(Dong1),"",OFFSET(TH!E$1,SMALL(Dong1,ROWS($1:48)),))</f>
        <v>41907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3535000</v>
      </c>
      <c r="I61" s="121">
        <f t="shared" ca="1" si="0"/>
        <v>1478110310</v>
      </c>
      <c r="J61" s="126"/>
    </row>
    <row r="62" spans="1:15" ht="21.75" customHeight="1">
      <c r="A62" s="120">
        <f ca="1">IF(ROWS($1:49)&gt;COUNT(Dong1),"",OFFSET(TH!C$1,SMALL(Dong1,ROWS($1:49)),))</f>
        <v>41907</v>
      </c>
      <c r="B62" s="120">
        <f ca="1">IF(ROWS($1:49)&gt;COUNT(Dong1),"",OFFSET(TH!E$1,SMALL(Dong1,ROWS($1:49)),))</f>
        <v>41907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353500</v>
      </c>
      <c r="I62" s="121">
        <f t="shared" ca="1" si="0"/>
        <v>1477756810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168800000</v>
      </c>
      <c r="H64" s="129">
        <f ca="1">SUM(H14:H63)</f>
        <v>389734619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1477756810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2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2"/>
      <c r="I1" s="231"/>
      <c r="K1" s="785"/>
      <c r="L1" s="78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5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25"/>
      <c r="H2" s="1025"/>
      <c r="I2" s="232"/>
      <c r="K2" s="786"/>
      <c r="L2" s="786"/>
    </row>
    <row r="3" spans="1:20" s="140" customFormat="1" ht="16.5" customHeight="1">
      <c r="A3" s="177"/>
      <c r="B3" s="177"/>
      <c r="C3" s="177"/>
      <c r="D3" s="177"/>
      <c r="F3" s="1025"/>
      <c r="G3" s="1025"/>
      <c r="H3" s="1025"/>
      <c r="I3" s="232"/>
    </row>
    <row r="4" spans="1:20" s="140" customFormat="1" ht="19.5" customHeight="1">
      <c r="A4" s="1028" t="s">
        <v>137</v>
      </c>
      <c r="B4" s="1028"/>
      <c r="C4" s="1028"/>
      <c r="D4" s="1028"/>
      <c r="E4" s="1028"/>
      <c r="F4" s="1028"/>
      <c r="G4" s="1028"/>
      <c r="H4" s="1028"/>
      <c r="I4" s="1028"/>
    </row>
    <row r="5" spans="1:20" s="140" customFormat="1" ht="15">
      <c r="A5" s="101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7"/>
      <c r="C5" s="1017"/>
      <c r="D5" s="1017"/>
      <c r="E5" s="1017"/>
      <c r="F5" s="1017"/>
      <c r="G5" s="1017"/>
      <c r="H5" s="1017"/>
      <c r="I5" s="1017"/>
    </row>
    <row r="6" spans="1:20" s="140" customFormat="1" ht="15">
      <c r="D6" s="260" t="s">
        <v>158</v>
      </c>
      <c r="E6" s="1017" t="str">
        <f>IF($M$9="ACB","100983119","1004 148 5104 6511")</f>
        <v>1004 148 5104 6511</v>
      </c>
      <c r="F6" s="1017"/>
      <c r="G6" s="1017"/>
      <c r="H6" s="563" t="s">
        <v>108</v>
      </c>
      <c r="I6" s="261" t="str">
        <f>IF(H6="VNĐ","1121",IF(H6="USD","1122",""))</f>
        <v>1121</v>
      </c>
      <c r="N6" s="1010" t="s">
        <v>325</v>
      </c>
      <c r="O6" s="1010"/>
      <c r="Q6" s="1026" t="s">
        <v>266</v>
      </c>
      <c r="R6" s="1026" t="s">
        <v>326</v>
      </c>
      <c r="S6" s="1026" t="s">
        <v>1272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4"/>
      <c r="I7" s="144"/>
      <c r="Q7" s="1027"/>
      <c r="R7" s="1027"/>
      <c r="S7" s="1027"/>
    </row>
    <row r="8" spans="1:20" s="145" customFormat="1" ht="22.5" customHeight="1" thickBot="1">
      <c r="A8" s="1018" t="s">
        <v>138</v>
      </c>
      <c r="B8" s="1020" t="s">
        <v>1</v>
      </c>
      <c r="C8" s="1021"/>
      <c r="D8" s="1015" t="s">
        <v>0</v>
      </c>
      <c r="E8" s="1022" t="s">
        <v>14</v>
      </c>
      <c r="F8" s="1024" t="s">
        <v>139</v>
      </c>
      <c r="G8" s="1024"/>
      <c r="H8" s="1021"/>
      <c r="I8" s="1015" t="s">
        <v>127</v>
      </c>
      <c r="K8" s="138"/>
      <c r="L8" s="140"/>
      <c r="N8" s="571">
        <f>IF(K9="Quý I",1,IF(K9="Quý II",4,IF(K9="Quý III",7,IF(K9="Quý IV",10,""))))</f>
        <v>7</v>
      </c>
      <c r="O8" s="572">
        <f>IF(K9="Quý I",3,IF(K9="Quý II",6,IF(K9="Quý III",9,IF(K9="Quý IV",12,""))))</f>
        <v>9</v>
      </c>
      <c r="Q8" s="450" t="s">
        <v>267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1019"/>
      <c r="B9" s="146" t="s">
        <v>15</v>
      </c>
      <c r="C9" s="147" t="s">
        <v>140</v>
      </c>
      <c r="D9" s="1016"/>
      <c r="E9" s="1023"/>
      <c r="F9" s="253" t="s">
        <v>141</v>
      </c>
      <c r="G9" s="148" t="s">
        <v>142</v>
      </c>
      <c r="H9" s="565" t="s">
        <v>143</v>
      </c>
      <c r="I9" s="1016"/>
      <c r="K9" s="178" t="s">
        <v>405</v>
      </c>
      <c r="L9" s="140"/>
      <c r="M9" s="449" t="s">
        <v>1271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1424397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3">
        <f ca="1">IF(A12&lt;&gt;"",H11+F12-G12,0)</f>
        <v>14265397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73">
        <f t="shared" ref="H13:H44" ca="1" si="0">IF(A13&lt;&gt;"",H12+F13-G13,0)</f>
        <v>12848597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3">
        <f t="shared" ca="1" si="0"/>
        <v>11842347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3">
        <f t="shared" ca="1" si="0"/>
        <v>1425681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5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3">
        <f t="shared" ca="1" si="0"/>
        <v>101425681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73">
        <f t="shared" ca="1" si="0"/>
        <v>71425681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73">
        <f t="shared" ca="1" si="0"/>
        <v>71414681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3">
        <f t="shared" ca="1" si="0"/>
        <v>21414681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73">
        <f t="shared" ca="1" si="0"/>
        <v>21403681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73">
        <f t="shared" ca="1" si="0"/>
        <v>15403681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73">
        <f t="shared" ca="1" si="0"/>
        <v>15392681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73">
        <f t="shared" ca="1" si="0"/>
        <v>1392681</v>
      </c>
      <c r="I23" s="454"/>
      <c r="L23" s="140"/>
      <c r="Q23" s="561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73">
        <f t="shared" ca="1" si="0"/>
        <v>1370681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5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73">
        <f t="shared" ca="1" si="0"/>
        <v>1326681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3">
        <f t="shared" ca="1" si="0"/>
        <v>1327281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5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3">
        <f t="shared" ca="1" si="0"/>
        <v>14107281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5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73">
        <f t="shared" ca="1" si="0"/>
        <v>13131264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5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73">
        <f t="shared" ca="1" si="0"/>
        <v>12091472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5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73">
        <f t="shared" ca="1" si="0"/>
        <v>1327583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5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73">
        <f t="shared" ca="1" si="0"/>
        <v>1328183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5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3">
        <f t="shared" ca="1" si="0"/>
        <v>100888183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5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73">
        <f t="shared" ca="1" si="0"/>
        <v>1328183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73">
        <f t="shared" ca="1" si="0"/>
        <v>4108183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5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3">
        <f t="shared" ca="1" si="0"/>
        <v>14108183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5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73">
        <f t="shared" ca="1" si="0"/>
        <v>13132166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5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73">
        <f t="shared" ca="1" si="0"/>
        <v>12092374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73">
        <f t="shared" ca="1" si="0"/>
        <v>1328485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5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73">
        <f t="shared" ca="1" si="0"/>
        <v>1329185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3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3">
        <f t="shared" ca="1" si="0"/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3">
        <f t="shared" ca="1" si="0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3">
        <f t="shared" ca="1" si="0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3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3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237962900</v>
      </c>
      <c r="G46" s="456">
        <f ca="1">SUM(G12:G45)</f>
        <v>238058112</v>
      </c>
      <c r="H46" s="456">
        <f ca="1">H11+F46-G46</f>
        <v>1329185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1329185</v>
      </c>
      <c r="I47" s="159"/>
    </row>
    <row r="48" spans="1:20" s="155" customFormat="1" ht="22.5" customHeight="1">
      <c r="A48" s="252" t="s">
        <v>155</v>
      </c>
      <c r="B48" s="161"/>
      <c r="F48" s="162"/>
      <c r="H48" s="56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6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6" activePane="bottomLeft" state="frozen"/>
      <selection activeCell="A4" sqref="A4"/>
      <selection pane="bottomLeft" activeCell="G23" sqref="G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9" t="str">
        <f>TH!$A$1</f>
        <v>Đơn vị: CÔNG TY TNHH SX TM KIM DUNG PHÁT</v>
      </c>
    </row>
    <row r="2" spans="1:9">
      <c r="A2" s="810" t="str">
        <f>TH!$A$2</f>
        <v>Địa chỉ: 1A227/1 Ấp 1, Phạm Văn Hai, Bình Chánh, TPHCM</v>
      </c>
    </row>
    <row r="3" spans="1:9" ht="27" customHeight="1">
      <c r="A3" s="1030" t="s">
        <v>331</v>
      </c>
      <c r="B3" s="1030"/>
      <c r="C3" s="1030"/>
      <c r="D3" s="1030"/>
      <c r="E3" s="1030"/>
      <c r="F3" s="1030"/>
      <c r="G3" s="1030"/>
      <c r="H3" s="1030"/>
    </row>
    <row r="4" spans="1:9" s="10" customFormat="1" ht="14.25" customHeight="1">
      <c r="A4" s="1031" t="s">
        <v>35</v>
      </c>
      <c r="B4" s="1033" t="s">
        <v>36</v>
      </c>
      <c r="C4" s="1035" t="s">
        <v>37</v>
      </c>
      <c r="D4" s="1036"/>
      <c r="E4" s="1035" t="s">
        <v>38</v>
      </c>
      <c r="F4" s="1036"/>
      <c r="G4" s="1035" t="s">
        <v>41</v>
      </c>
      <c r="H4" s="1036"/>
    </row>
    <row r="5" spans="1:9" s="10" customFormat="1" ht="14.25" customHeight="1">
      <c r="A5" s="1032"/>
      <c r="B5" s="1034"/>
      <c r="C5" s="579" t="s">
        <v>42</v>
      </c>
      <c r="D5" s="579" t="s">
        <v>43</v>
      </c>
      <c r="E5" s="579" t="s">
        <v>42</v>
      </c>
      <c r="F5" s="579" t="s">
        <v>43</v>
      </c>
      <c r="G5" s="579" t="s">
        <v>42</v>
      </c>
      <c r="H5" s="579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562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455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910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583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685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647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426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470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6">
        <f t="shared" si="1"/>
        <v>11224400</v>
      </c>
      <c r="H13" s="756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799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56">
        <f t="shared" si="1"/>
        <v>7059030</v>
      </c>
      <c r="H14" s="756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909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56">
        <f t="shared" si="1"/>
        <v>39383410</v>
      </c>
      <c r="H15" s="756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459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56">
        <f t="shared" si="1"/>
        <v>8840700</v>
      </c>
      <c r="H16" s="756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911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6">
        <f t="shared" si="1"/>
        <v>0</v>
      </c>
      <c r="H17" s="756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715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56">
        <f t="shared" si="1"/>
        <v>6668200</v>
      </c>
      <c r="H18" s="756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689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56">
        <f t="shared" si="1"/>
        <v>29257260</v>
      </c>
      <c r="H19" s="756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618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56">
        <f t="shared" si="1"/>
        <v>4798530</v>
      </c>
      <c r="H20" s="756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655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56">
        <f t="shared" si="1"/>
        <v>1650000</v>
      </c>
      <c r="H21" s="756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734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56">
        <f t="shared" si="1"/>
        <v>7458000</v>
      </c>
      <c r="H22" s="756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642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6">
        <f t="shared" si="1"/>
        <v>21191500</v>
      </c>
      <c r="H23" s="756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478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56">
        <f t="shared" si="1"/>
        <v>34580700</v>
      </c>
      <c r="H24" s="756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783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6">
        <f t="shared" si="1"/>
        <v>0</v>
      </c>
      <c r="H25" s="756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436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56">
        <f t="shared" si="1"/>
        <v>4774000</v>
      </c>
      <c r="H26" s="756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491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6">
        <f t="shared" si="1"/>
        <v>0</v>
      </c>
      <c r="H27" s="756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551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56">
        <f t="shared" si="1"/>
        <v>10484540</v>
      </c>
      <c r="H28" s="756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503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56">
        <f t="shared" si="1"/>
        <v>49997805</v>
      </c>
      <c r="H29" s="756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473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56">
        <f t="shared" si="1"/>
        <v>36163160</v>
      </c>
      <c r="H30" s="756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547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56">
        <f t="shared" si="1"/>
        <v>10450000</v>
      </c>
      <c r="H31" s="756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833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56">
        <f t="shared" si="1"/>
        <v>16206080</v>
      </c>
      <c r="H32" s="756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722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56">
        <f t="shared" si="1"/>
        <v>53599865</v>
      </c>
      <c r="H33" s="756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778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56">
        <f t="shared" si="1"/>
        <v>44513700</v>
      </c>
      <c r="H34" s="756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56">
        <f t="shared" si="1"/>
        <v>74515210</v>
      </c>
      <c r="H35" s="756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462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56">
        <f t="shared" si="1"/>
        <v>78469468</v>
      </c>
      <c r="H36" s="756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439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56">
        <f t="shared" si="1"/>
        <v>152713275</v>
      </c>
      <c r="H37" s="756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908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6">
        <f t="shared" si="1"/>
        <v>250000</v>
      </c>
      <c r="H38" s="756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420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56">
        <f t="shared" si="1"/>
        <v>100981540</v>
      </c>
      <c r="H39" s="756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603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6">
        <f t="shared" si="1"/>
        <v>34482685</v>
      </c>
      <c r="H40" s="756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536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56">
        <f t="shared" si="1"/>
        <v>2023120</v>
      </c>
      <c r="H41" s="756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442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56">
        <f t="shared" si="1"/>
        <v>21186000</v>
      </c>
      <c r="H42" s="756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466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56">
        <f t="shared" si="1"/>
        <v>6050254</v>
      </c>
      <c r="H43" s="756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839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56">
        <f t="shared" si="1"/>
        <v>3631650</v>
      </c>
      <c r="H44" s="756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847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6">
        <f t="shared" ref="G45:G48" si="4">ROUND(MAX(C45+E45-D45-F45,0),2)</f>
        <v>19056098</v>
      </c>
      <c r="H45" s="756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863</v>
      </c>
      <c r="C46" s="8"/>
      <c r="D46" s="8">
        <v>6029424</v>
      </c>
      <c r="E46" s="8">
        <f t="array" ref="E46">SUM(IF("131"&amp;B46=KHN&amp;KH,TH))</f>
        <v>14583580</v>
      </c>
      <c r="F46" s="8">
        <f t="array" ref="F46">SUM(IF("131"&amp;B46=KHC&amp;KH,TH))</f>
        <v>8025000</v>
      </c>
      <c r="G46" s="756">
        <f t="shared" si="4"/>
        <v>529156</v>
      </c>
      <c r="H46" s="756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878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56">
        <f t="shared" si="4"/>
        <v>17875000</v>
      </c>
      <c r="H47" s="756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888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56">
        <f t="shared" si="4"/>
        <v>18667000</v>
      </c>
      <c r="H48" s="756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104569960</v>
      </c>
      <c r="D50" s="13">
        <f t="shared" si="7"/>
        <v>6029424</v>
      </c>
      <c r="E50" s="13">
        <f t="shared" si="7"/>
        <v>2498749784</v>
      </c>
      <c r="F50" s="13">
        <f t="shared" si="7"/>
        <v>1416391498</v>
      </c>
      <c r="G50" s="13">
        <f t="shared" si="7"/>
        <v>1180898822</v>
      </c>
      <c r="H50" s="13">
        <f t="shared" si="7"/>
        <v>0</v>
      </c>
    </row>
    <row r="51" spans="1:9">
      <c r="E51" s="15">
        <f>E50-CDPS!E14</f>
        <v>0</v>
      </c>
      <c r="F51" s="15">
        <f>F50-CDPS!F14</f>
        <v>0</v>
      </c>
    </row>
    <row r="52" spans="1:9">
      <c r="E52" s="15"/>
      <c r="F52" s="15"/>
    </row>
    <row r="53" spans="1:9">
      <c r="E53" s="15"/>
      <c r="F53" s="1029" t="s">
        <v>415</v>
      </c>
      <c r="G53" s="1029"/>
      <c r="H53" s="1029"/>
    </row>
    <row r="54" spans="1:9">
      <c r="F54" s="1029" t="s">
        <v>109</v>
      </c>
      <c r="G54" s="1029"/>
      <c r="H54" s="1029"/>
    </row>
    <row r="55" spans="1:9">
      <c r="E55" s="183"/>
      <c r="F55" s="1029" t="s">
        <v>136</v>
      </c>
      <c r="G55" s="1029"/>
      <c r="H55" s="1029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4" t="str">
        <f>TH!A1</f>
        <v>Đơn vị: CÔNG TY TNHH SX TM KIM DUNG PHÁT</v>
      </c>
      <c r="B1" s="576"/>
      <c r="C1" s="576"/>
      <c r="G1" s="2"/>
      <c r="H1" s="1038" t="s">
        <v>46</v>
      </c>
      <c r="I1" s="1038"/>
      <c r="J1" s="1038"/>
    </row>
    <row r="2" spans="1:10" s="446" customFormat="1" ht="14.25" customHeight="1">
      <c r="A2" s="583" t="str">
        <f>TH!A2</f>
        <v>Địa chỉ: 1A227/1 Ấp 1, Phạm Văn Hai, Bình Chánh, TPHCM</v>
      </c>
      <c r="B2" s="576"/>
      <c r="C2" s="576"/>
      <c r="G2" s="17"/>
      <c r="H2" s="103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9"/>
      <c r="J2" s="1039"/>
    </row>
    <row r="3" spans="1:10" s="446" customFormat="1" ht="14.25" customHeight="1">
      <c r="A3" s="578"/>
      <c r="B3" s="576"/>
      <c r="C3" s="576"/>
      <c r="G3" s="17"/>
      <c r="H3" s="1039"/>
      <c r="I3" s="1039"/>
      <c r="J3" s="1039"/>
    </row>
    <row r="4" spans="1:10" s="5" customFormat="1" ht="28.5" customHeight="1">
      <c r="A4" s="1040" t="s">
        <v>26</v>
      </c>
      <c r="B4" s="1040"/>
      <c r="C4" s="1040"/>
      <c r="D4" s="1040"/>
      <c r="E4" s="1040"/>
      <c r="F4" s="1040"/>
      <c r="G4" s="1040"/>
      <c r="H4" s="1040"/>
      <c r="I4" s="1040"/>
      <c r="J4" s="1040"/>
    </row>
    <row r="5" spans="1:10" s="18" customFormat="1" ht="14.25" customHeight="1">
      <c r="E5" s="574" t="s">
        <v>27</v>
      </c>
    </row>
    <row r="6" spans="1:10" s="18" customFormat="1" ht="14.25" customHeight="1">
      <c r="E6" s="574" t="s">
        <v>334</v>
      </c>
    </row>
    <row r="7" spans="1:10" s="18" customFormat="1" ht="14.25" customHeight="1">
      <c r="D7" s="20" t="s">
        <v>45</v>
      </c>
      <c r="E7" s="1041" t="s">
        <v>426</v>
      </c>
      <c r="F7" s="1041"/>
      <c r="G7" s="1041"/>
      <c r="H7" s="1041"/>
    </row>
    <row r="8" spans="1:10" s="18" customFormat="1" ht="14.25" customHeight="1">
      <c r="E8" s="574" t="s">
        <v>29</v>
      </c>
    </row>
    <row r="9" spans="1:10" s="18" customFormat="1" ht="6.75" customHeight="1">
      <c r="B9" s="574"/>
      <c r="C9" s="1042"/>
      <c r="D9" s="1042"/>
      <c r="E9" s="1042"/>
      <c r="F9" s="1042"/>
      <c r="G9" s="1042"/>
      <c r="H9" s="1042"/>
      <c r="I9" s="1042"/>
      <c r="J9" s="1042"/>
    </row>
    <row r="10" spans="1:10" s="18" customFormat="1" ht="14.25" customHeight="1">
      <c r="A10" s="1006" t="s">
        <v>20</v>
      </c>
      <c r="B10" s="1037" t="s">
        <v>1</v>
      </c>
      <c r="C10" s="1037"/>
      <c r="D10" s="1006" t="s">
        <v>0</v>
      </c>
      <c r="E10" s="1006" t="s">
        <v>14</v>
      </c>
      <c r="F10" s="1006" t="s">
        <v>30</v>
      </c>
      <c r="G10" s="1043" t="s">
        <v>21</v>
      </c>
      <c r="H10" s="1044"/>
      <c r="I10" s="1043" t="s">
        <v>31</v>
      </c>
      <c r="J10" s="1044"/>
    </row>
    <row r="11" spans="1:10" s="18" customFormat="1" ht="24.75" customHeight="1">
      <c r="A11" s="1006"/>
      <c r="B11" s="30" t="s">
        <v>15</v>
      </c>
      <c r="C11" s="30" t="s">
        <v>32</v>
      </c>
      <c r="D11" s="1006"/>
      <c r="E11" s="1006"/>
      <c r="F11" s="100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0" t="s">
        <v>2</v>
      </c>
      <c r="B12" s="581" t="s">
        <v>3</v>
      </c>
      <c r="C12" s="580" t="s">
        <v>4</v>
      </c>
      <c r="D12" s="580" t="s">
        <v>5</v>
      </c>
      <c r="E12" s="580" t="s">
        <v>6</v>
      </c>
      <c r="F12" s="580">
        <v>1</v>
      </c>
      <c r="G12" s="580">
        <v>2</v>
      </c>
      <c r="H12" s="580">
        <v>3</v>
      </c>
      <c r="I12" s="580">
        <v>4</v>
      </c>
      <c r="J12" s="580">
        <v>5</v>
      </c>
    </row>
    <row r="13" spans="1:10" s="18" customFormat="1" ht="18" customHeight="1">
      <c r="A13" s="580"/>
      <c r="B13" s="580"/>
      <c r="C13" s="580"/>
      <c r="D13" s="23" t="s">
        <v>7</v>
      </c>
      <c r="E13" s="580"/>
      <c r="F13" s="24"/>
      <c r="G13" s="24"/>
      <c r="H13" s="24"/>
      <c r="I13" s="47">
        <f>VLOOKUP($E$7,'131'!$B$6:$H$49,2,0)</f>
        <v>0</v>
      </c>
      <c r="J13" s="47">
        <f>VLOOKUP($E$7,'131'!$B$6:$H$49,3,0)</f>
        <v>0</v>
      </c>
    </row>
    <row r="14" spans="1:10" s="18" customFormat="1" ht="18" customHeight="1">
      <c r="A14" s="9">
        <f ca="1">IF(ROWS($1:1)&gt;COUNT(Dong14),"",OFFSET(TH!C$1,SMALL(Dong14,ROWS($1:1)),))</f>
        <v>41664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41664</v>
      </c>
      <c r="D14" s="226" t="str">
        <f ca="1">IF(ROWS($1:1)&gt;COUNT(Dong14),"",OFFSET(TH!F$1,SMALL(Dong14,ROWS($1:1)),))</f>
        <v>Thùng (39x29x37)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5253000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5253000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41664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41664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525300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5778300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41690</v>
      </c>
      <c r="B16" s="9" t="str">
        <f ca="1">IF(ROWS($1:3)&gt;COUNT(Dong14),"",OFFSET(TH!D$1,SMALL(Dong14,ROWS($1:3)),))</f>
        <v>TP/X09</v>
      </c>
      <c r="C16" s="9">
        <f ca="1">IF(ROWS($1:3)&gt;COUNT(Dong14),"",OFFSET(TH!E$1,SMALL(Dong14,ROWS($1:3)),))</f>
        <v>41690</v>
      </c>
      <c r="D16" s="226" t="str">
        <f ca="1">IF(ROWS($1:3)&gt;COUNT(Dong14),"",OFFSET(TH!F$1,SMALL(Dong14,ROWS($1:3)),))</f>
        <v>Thùng (39x29x37)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5150000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10928300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41690</v>
      </c>
      <c r="B17" s="9" t="str">
        <f ca="1">IF(ROWS($1:4)&gt;COUNT(Dong14),"",OFFSET(TH!D$1,SMALL(Dong14,ROWS($1:4)),))</f>
        <v>TP/X09</v>
      </c>
      <c r="C17" s="9">
        <f ca="1">IF(ROWS($1:4)&gt;COUNT(Dong14),"",OFFSET(TH!E$1,SMALL(Dong14,ROWS($1:4)),))</f>
        <v>41690</v>
      </c>
      <c r="D17" s="226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515000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11443300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41704</v>
      </c>
      <c r="B18" s="9" t="str">
        <f ca="1">IF(ROWS($1:5)&gt;COUNT(Dong14),"",OFFSET(TH!D$1,SMALL(Dong14,ROWS($1:5)),))</f>
        <v>TP/X17</v>
      </c>
      <c r="C18" s="9">
        <f ca="1">IF(ROWS($1:5)&gt;COUNT(Dong14),"",OFFSET(TH!E$1,SMALL(Dong14,ROWS($1:5)),))</f>
        <v>41704</v>
      </c>
      <c r="D18" s="226" t="str">
        <f ca="1">IF(ROWS($1:5)&gt;COUNT(Dong14),"",OFFSET(TH!F$1,SMALL(Dong14,ROWS($1:5)),))</f>
        <v>Thùng (39x29x37)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5302500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16745800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41704</v>
      </c>
      <c r="B19" s="9" t="str">
        <f ca="1">IF(ROWS($1:6)&gt;COUNT(Dong14),"",OFFSET(TH!D$1,SMALL(Dong14,ROWS($1:6)),))</f>
        <v>TP/X17</v>
      </c>
      <c r="C19" s="9">
        <f ca="1">IF(ROWS($1:6)&gt;COUNT(Dong14),"",OFFSET(TH!E$1,SMALL(Dong14,ROWS($1:6)),))</f>
        <v>41704</v>
      </c>
      <c r="D19" s="226" t="str">
        <f ca="1">IF(ROWS($1:6)&gt;COUNT(Dong14),"",OFFSET(TH!F$1,SMALL(Dong14,ROWS($1:6)),))</f>
        <v>Thùng (55x37x25)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6500000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23245800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41704</v>
      </c>
      <c r="B20" s="9" t="str">
        <f ca="1">IF(ROWS($1:7)&gt;COUNT(Dong14),"",OFFSET(TH!D$1,SMALL(Dong14,ROWS($1:7)),))</f>
        <v>TP/X17</v>
      </c>
      <c r="C20" s="9">
        <f ca="1">IF(ROWS($1:7)&gt;COUNT(Dong14),"",OFFSET(TH!E$1,SMALL(Dong14,ROWS($1:7)),))</f>
        <v>41704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1180250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24426050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41752</v>
      </c>
      <c r="B21" s="9" t="str">
        <f ca="1">IF(ROWS($1:8)&gt;COUNT(Dong14),"",OFFSET(TH!D$1,SMALL(Dong14,ROWS($1:8)),))</f>
        <v>TP/X10</v>
      </c>
      <c r="C21" s="9">
        <f ca="1">IF(ROWS($1:8)&gt;COUNT(Dong14),"",OFFSET(TH!E$1,SMALL(Dong14,ROWS($1:8)),))</f>
        <v>41752</v>
      </c>
      <c r="D21" s="226" t="str">
        <f ca="1">IF(ROWS($1:8)&gt;COUNT(Dong14),"",OFFSET(TH!F$1,SMALL(Dong14,ROWS($1:8)),))</f>
        <v>Thùng (39x29x37)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4100000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28526050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41752</v>
      </c>
      <c r="B22" s="9" t="str">
        <f ca="1">IF(ROWS($1:9)&gt;COUNT(Dong14),"",OFFSET(TH!D$1,SMALL(Dong14,ROWS($1:9)),))</f>
        <v>TP/X10</v>
      </c>
      <c r="C22" s="9">
        <f ca="1">IF(ROWS($1:9)&gt;COUNT(Dong14),"",OFFSET(TH!E$1,SMALL(Dong14,ROWS($1:9)),))</f>
        <v>41752</v>
      </c>
      <c r="D22" s="226" t="str">
        <f ca="1">IF(ROWS($1:9)&gt;COUNT(Dong14),"",OFFSET(TH!F$1,SMALL(Dong14,ROWS($1:9)),))</f>
        <v>Thùng (39x29x37)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5140800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33666850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41752</v>
      </c>
      <c r="B23" s="9" t="str">
        <f ca="1">IF(ROWS($1:10)&gt;COUNT(Dong14),"",OFFSET(TH!D$1,SMALL(Dong14,ROWS($1:10)),))</f>
        <v>TP/X10</v>
      </c>
      <c r="C23" s="9">
        <f ca="1">IF(ROWS($1:10)&gt;COUNT(Dong14),"",OFFSET(TH!E$1,SMALL(Dong14,ROWS($1:10)),))</f>
        <v>41752</v>
      </c>
      <c r="D23" s="226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924080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34590930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41774</v>
      </c>
      <c r="B24" s="9" t="str">
        <f ca="1">IF(ROWS($1:11)&gt;COUNT(Dong14),"",OFFSET(TH!D$1,SMALL(Dong14,ROWS($1:11)),))</f>
        <v>TP/X17</v>
      </c>
      <c r="C24" s="9">
        <f ca="1">IF(ROWS($1:11)&gt;COUNT(Dong14),"",OFFSET(TH!E$1,SMALL(Dong14,ROWS($1:11)),))</f>
        <v>41774</v>
      </c>
      <c r="D24" s="226" t="str">
        <f ca="1">IF(ROWS($1:11)&gt;COUNT(Dong14),"",OFFSET(TH!F$1,SMALL(Dong14,ROWS($1:11)),))</f>
        <v>Thùng (55x33x25)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11243500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45834430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41774</v>
      </c>
      <c r="B25" s="9" t="str">
        <f ca="1">IF(ROWS($1:12)&gt;COUNT(Dong14),"",OFFSET(TH!D$1,SMALL(Dong14,ROWS($1:12)),))</f>
        <v>TP/X17</v>
      </c>
      <c r="C25" s="9">
        <f ca="1">IF(ROWS($1:12)&gt;COUNT(Dong14),"",OFFSET(TH!E$1,SMALL(Dong14,ROWS($1:12)),))</f>
        <v>41774</v>
      </c>
      <c r="D25" s="226" t="str">
        <f ca="1">IF(ROWS($1:12)&gt;COUNT(Dong14),"",OFFSET(TH!F$1,SMALL(Dong14,ROWS($1:12)),))</f>
        <v>Thùng (46x34x25)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5218500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51052930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41774</v>
      </c>
      <c r="B26" s="9" t="str">
        <f ca="1">IF(ROWS($1:13)&gt;COUNT(Dong14),"",OFFSET(TH!D$1,SMALL(Dong14,ROWS($1:13)),))</f>
        <v>TP/X17</v>
      </c>
      <c r="C26" s="9">
        <f ca="1">IF(ROWS($1:13)&gt;COUNT(Dong14),"",OFFSET(TH!E$1,SMALL(Dong14,ROWS($1:13)),))</f>
        <v>41774</v>
      </c>
      <c r="D26" s="226" t="str">
        <f ca="1">IF(ROWS($1:13)&gt;COUNT(Dong14),"",OFFSET(TH!F$1,SMALL(Dong14,ROWS($1:13)),))</f>
        <v>VAT Thùng carton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1646200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52699130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41781</v>
      </c>
      <c r="B27" s="9" t="str">
        <f ca="1">IF(ROWS($1:14)&gt;COUNT(Dong14),"",OFFSET(TH!D$1,SMALL(Dong14,ROWS($1:14)),))</f>
        <v>TP/X22</v>
      </c>
      <c r="C27" s="9">
        <f ca="1">IF(ROWS($1:14)&gt;COUNT(Dong14),"",OFFSET(TH!E$1,SMALL(Dong14,ROWS($1:14)),))</f>
        <v>41781</v>
      </c>
      <c r="D27" s="226" t="str">
        <f ca="1">IF(ROWS($1:14)&gt;COUNT(Dong14),"",OFFSET(TH!F$1,SMALL(Dong14,ROWS($1:14)),))</f>
        <v>Thùng (49x49x35)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8846600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61545730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41781</v>
      </c>
      <c r="B28" s="9" t="str">
        <f ca="1">IF(ROWS($1:15)&gt;COUNT(Dong14),"",OFFSET(TH!D$1,SMALL(Dong14,ROWS($1:15)),))</f>
        <v>TP/X22</v>
      </c>
      <c r="C28" s="9">
        <f ca="1">IF(ROWS($1:15)&gt;COUNT(Dong14),"",OFFSET(TH!E$1,SMALL(Dong14,ROWS($1:15)),))</f>
        <v>41781</v>
      </c>
      <c r="D28" s="226" t="str">
        <f ca="1">IF(ROWS($1:15)&gt;COUNT(Dong14),"",OFFSET(TH!F$1,SMALL(Dong14,ROWS($1:15)),))</f>
        <v>VAT Thùng carton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884660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62430390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41786</v>
      </c>
      <c r="B29" s="9" t="str">
        <f ca="1">IF(ROWS($1:16)&gt;COUNT(Dong14),"",OFFSET(TH!D$1,SMALL(Dong14,ROWS($1:16)),))</f>
        <v>TP/X23</v>
      </c>
      <c r="C29" s="9">
        <f ca="1">IF(ROWS($1:16)&gt;COUNT(Dong14),"",OFFSET(TH!E$1,SMALL(Dong14,ROWS($1:16)),))</f>
        <v>41786</v>
      </c>
      <c r="D29" s="226" t="str">
        <f ca="1">IF(ROWS($1:16)&gt;COUNT(Dong14),"",OFFSET(TH!F$1,SMALL(Dong14,ROWS($1:16)),))</f>
        <v>Thùng (55x37x25)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12275400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74705790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41786</v>
      </c>
      <c r="B30" s="9" t="str">
        <f ca="1">IF(ROWS($1:17)&gt;COUNT(Dong14),"",OFFSET(TH!D$1,SMALL(Dong14,ROWS($1:17)),))</f>
        <v>TP/X23</v>
      </c>
      <c r="C30" s="9">
        <f ca="1">IF(ROWS($1:17)&gt;COUNT(Dong14),"",OFFSET(TH!E$1,SMALL(Dong14,ROWS($1:17)),))</f>
        <v>41786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1227540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75933330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0"/>
      <c r="C32" s="26"/>
      <c r="D32" s="23" t="s">
        <v>33</v>
      </c>
      <c r="E32" s="580" t="s">
        <v>19</v>
      </c>
      <c r="F32" s="580" t="s">
        <v>19</v>
      </c>
      <c r="G32" s="27">
        <f ca="1">SUM(G14:G30)</f>
        <v>75933330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80"/>
      <c r="C33" s="580"/>
      <c r="D33" s="23" t="s">
        <v>10</v>
      </c>
      <c r="E33" s="580" t="s">
        <v>19</v>
      </c>
      <c r="F33" s="580" t="s">
        <v>19</v>
      </c>
      <c r="G33" s="27" t="s">
        <v>19</v>
      </c>
      <c r="H33" s="27" t="s">
        <v>19</v>
      </c>
      <c r="I33" s="27">
        <f ca="1">MAX(I13+G32-H32-J13,0)</f>
        <v>75933330</v>
      </c>
      <c r="J33" s="27">
        <f ca="1">MAX(J13+H32-G32-I13,0)</f>
        <v>0</v>
      </c>
    </row>
    <row r="34" spans="1:11" s="18" customFormat="1" ht="6" customHeight="1">
      <c r="B34" s="574"/>
      <c r="C34" s="574"/>
      <c r="E34" s="574"/>
    </row>
    <row r="35" spans="1:11" s="18" customFormat="1" ht="14.25" customHeight="1">
      <c r="A35" s="28" t="s">
        <v>152</v>
      </c>
      <c r="B35" s="574"/>
      <c r="C35" s="574"/>
      <c r="E35" s="57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25/1/ 2014</v>
      </c>
      <c r="B36" s="574"/>
      <c r="C36" s="574"/>
      <c r="E36" s="574"/>
      <c r="K36" s="28" t="s">
        <v>34</v>
      </c>
    </row>
    <row r="37" spans="1:11" s="18" customFormat="1" ht="14.25" customHeight="1">
      <c r="B37" s="574"/>
      <c r="C37" s="574"/>
      <c r="E37" s="995" t="str">
        <f ca="1">"Ngày 31 tháng  12  năm  "&amp;YEAR($A$14)</f>
        <v>Ngày 31 tháng  12  năm  2014</v>
      </c>
      <c r="F37" s="995"/>
      <c r="G37" s="995"/>
      <c r="H37" s="995"/>
      <c r="I37" s="995"/>
      <c r="J37" s="995"/>
    </row>
    <row r="38" spans="1:11" s="18" customFormat="1" ht="14.25" customHeight="1">
      <c r="C38" s="574" t="s">
        <v>11</v>
      </c>
      <c r="E38" s="995" t="s">
        <v>12</v>
      </c>
      <c r="F38" s="995"/>
      <c r="G38" s="995"/>
      <c r="H38" s="995"/>
      <c r="I38" s="995"/>
      <c r="J38" s="995"/>
    </row>
    <row r="39" spans="1:11" s="18" customFormat="1" ht="14.25" customHeight="1">
      <c r="C39" s="574" t="s">
        <v>13</v>
      </c>
      <c r="E39" s="995" t="s">
        <v>13</v>
      </c>
      <c r="F39" s="995"/>
      <c r="G39" s="995"/>
      <c r="H39" s="995"/>
      <c r="I39" s="995"/>
      <c r="J39" s="995"/>
    </row>
    <row r="40" spans="1:11" s="29" customFormat="1"/>
    <row r="46" spans="1:11" ht="15">
      <c r="C46" s="575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9"/>
  <sheetViews>
    <sheetView showZeros="0" topLeftCell="A4" workbookViewId="0">
      <pane ySplit="2" topLeftCell="A6" activePane="bottomLeft" state="frozen"/>
      <selection activeCell="A4" sqref="A4"/>
      <selection pane="bottomLeft" activeCell="B14" sqref="B14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9" t="str">
        <f>TH!$A$1</f>
        <v>Đơn vị: CÔNG TY TNHH SX TM KIM DUNG PHÁT</v>
      </c>
    </row>
    <row r="2" spans="1:9">
      <c r="A2" s="810" t="str">
        <f>TH!$A$2</f>
        <v>Địa chỉ: 1A227/1 Ấp 1, Phạm Văn Hai, Bình Chánh, TPHCM</v>
      </c>
    </row>
    <row r="3" spans="1:9" ht="27" customHeight="1">
      <c r="A3" s="1030" t="s">
        <v>102</v>
      </c>
      <c r="B3" s="1030"/>
      <c r="C3" s="1030"/>
      <c r="D3" s="1030"/>
      <c r="E3" s="1030"/>
      <c r="F3" s="1030"/>
      <c r="G3" s="1030"/>
      <c r="H3" s="1030"/>
    </row>
    <row r="4" spans="1:9" s="10" customFormat="1" ht="14.25" customHeight="1">
      <c r="A4" s="1031" t="s">
        <v>35</v>
      </c>
      <c r="B4" s="1033" t="s">
        <v>36</v>
      </c>
      <c r="C4" s="1035" t="s">
        <v>37</v>
      </c>
      <c r="D4" s="1036"/>
      <c r="E4" s="1035" t="s">
        <v>38</v>
      </c>
      <c r="F4" s="1036"/>
      <c r="G4" s="1035" t="s">
        <v>41</v>
      </c>
      <c r="H4" s="1036"/>
    </row>
    <row r="5" spans="1:9" s="10" customFormat="1" ht="14.25" customHeight="1">
      <c r="A5" s="1032"/>
      <c r="B5" s="103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998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1144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1242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1149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1095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1078</v>
      </c>
      <c r="C12" s="8"/>
      <c r="D12" s="8"/>
      <c r="E12" s="8">
        <f t="array" ref="E12">SUM(IF("331"&amp;B12=KHN&amp;KH,TH))</f>
        <v>171985000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351353200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1082</v>
      </c>
      <c r="C13" s="8"/>
      <c r="D13" s="8"/>
      <c r="E13" s="8">
        <f t="array" ref="E13">SUM(IF("331"&amp;B13=KHN&amp;KH,TH))</f>
        <v>170560000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121007870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1014</v>
      </c>
      <c r="C14" s="8"/>
      <c r="D14" s="8"/>
      <c r="E14" s="8">
        <f t="array" ref="E14">SUM(IF("331"&amp;B14=KHN&amp;KH,TH))</f>
        <v>228814035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357335760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1107</v>
      </c>
      <c r="C15" s="8"/>
      <c r="D15" s="8"/>
      <c r="E15" s="8">
        <f t="array" ref="E15">SUM(IF("331"&amp;B15=KHN&amp;KH,TH))</f>
        <v>25928320</v>
      </c>
      <c r="F15" s="8">
        <f t="array" ref="F15">SUM(IF("331"&amp;B15=KHC&amp;KH,TH))</f>
        <v>25928320</v>
      </c>
      <c r="G15" s="756">
        <f t="shared" ref="G15:G22" si="8">ROUND(MAX(C15+E15-D15-F15,0),2)</f>
        <v>0</v>
      </c>
      <c r="H15" s="756">
        <f t="shared" ref="H15:H22" si="9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1019</v>
      </c>
      <c r="C16" s="8"/>
      <c r="D16" s="8"/>
      <c r="E16" s="8">
        <f t="array" ref="E16">SUM(IF("331"&amp;B16=KHN&amp;KH,TH))</f>
        <v>81400000</v>
      </c>
      <c r="F16" s="8">
        <f t="array" ref="F16">SUM(IF("331"&amp;B16=KHC&amp;KH,TH))</f>
        <v>81400000</v>
      </c>
      <c r="G16" s="756">
        <f t="shared" si="8"/>
        <v>0</v>
      </c>
      <c r="H16" s="756">
        <f t="shared" si="9"/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1054</v>
      </c>
      <c r="C17" s="8"/>
      <c r="D17" s="8"/>
      <c r="E17" s="8">
        <f t="array" ref="E17">SUM(IF("331"&amp;B17=KHN&amp;KH,TH))</f>
        <v>99654600</v>
      </c>
      <c r="F17" s="8">
        <f t="array" ref="F17">SUM(IF("331"&amp;B17=KHC&amp;KH,TH))</f>
        <v>493307540</v>
      </c>
      <c r="G17" s="756">
        <f t="shared" si="8"/>
        <v>0</v>
      </c>
      <c r="H17" s="756">
        <f t="shared" si="9"/>
        <v>393652940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1131</v>
      </c>
      <c r="C18" s="8"/>
      <c r="D18" s="8"/>
      <c r="E18" s="8">
        <f t="array" ref="E18">SUM(IF("331"&amp;B18=KHN&amp;KH,TH))</f>
        <v>99000000</v>
      </c>
      <c r="F18" s="8">
        <f t="array" ref="F18">SUM(IF("331"&amp;B18=KHC&amp;KH,TH))</f>
        <v>99000000</v>
      </c>
      <c r="G18" s="756">
        <f t="shared" si="8"/>
        <v>0</v>
      </c>
      <c r="H18" s="756">
        <f t="shared" si="9"/>
        <v>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1044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56">
        <f t="shared" si="8"/>
        <v>0</v>
      </c>
      <c r="H19" s="756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1121</v>
      </c>
      <c r="C20" s="8"/>
      <c r="D20" s="8"/>
      <c r="E20" s="8">
        <f t="array" ref="E20">SUM(IF("331"&amp;B20=KHN&amp;KH,TH))</f>
        <v>173000960</v>
      </c>
      <c r="F20" s="8">
        <f t="array" ref="F20">SUM(IF("331"&amp;B20=KHC&amp;KH,TH))</f>
        <v>173000960</v>
      </c>
      <c r="G20" s="756">
        <f t="shared" si="8"/>
        <v>0</v>
      </c>
      <c r="H20" s="756">
        <f t="shared" si="9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1055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56">
        <f t="shared" si="8"/>
        <v>0</v>
      </c>
      <c r="H21" s="756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1134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56">
        <f t="shared" si="8"/>
        <v>0</v>
      </c>
      <c r="H22" s="756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ref="A23" si="10">IF(B23&lt;&gt;"",ROW()-5,"")</f>
        <v>18</v>
      </c>
      <c r="B23" s="7" t="s">
        <v>1042</v>
      </c>
      <c r="C23" s="8"/>
      <c r="D23" s="8"/>
      <c r="E23" s="8">
        <f t="array" ref="E23">SUM(IF("331"&amp;B23=KHN&amp;KH,TH))</f>
        <v>1925000</v>
      </c>
      <c r="F23" s="8">
        <f t="array" ref="F23">SUM(IF("331"&amp;B23=KHC&amp;KH,TH))</f>
        <v>1925000</v>
      </c>
      <c r="G23" s="756">
        <f t="shared" ref="G23" si="11">ROUND(MAX(C23+E23-D23-F23,0),2)</f>
        <v>0</v>
      </c>
      <c r="H23" s="756">
        <f t="shared" ref="H23" si="12">ROUND(MAX(D23+F23-C23-E23,0),2)</f>
        <v>0</v>
      </c>
    </row>
    <row r="24" spans="1:9" s="10" customFormat="1" ht="16.5" customHeight="1">
      <c r="A24" s="6" t="str">
        <f>IF(B24&lt;&gt;"",ROW()-3,"")</f>
        <v/>
      </c>
      <c r="B24" s="44"/>
      <c r="C24" s="8"/>
      <c r="D24" s="8"/>
      <c r="E24" s="462"/>
      <c r="F24" s="462"/>
      <c r="G24" s="463"/>
      <c r="H24" s="463"/>
      <c r="I24" s="10" t="str">
        <f>IF(ISNA(VLOOKUP(B24,[4]!DSKH,1,0)),"","x")</f>
        <v/>
      </c>
    </row>
    <row r="25" spans="1:9" s="14" customFormat="1" ht="14.25" customHeight="1">
      <c r="A25" s="11"/>
      <c r="B25" s="12" t="s">
        <v>39</v>
      </c>
      <c r="C25" s="13">
        <f t="shared" ref="C25:H25" si="13">SUM(C6:C24)</f>
        <v>0</v>
      </c>
      <c r="D25" s="13">
        <f t="shared" si="13"/>
        <v>0</v>
      </c>
      <c r="E25" s="13">
        <f t="shared" si="13"/>
        <v>2468617506</v>
      </c>
      <c r="F25" s="13">
        <f t="shared" si="13"/>
        <v>3721227654</v>
      </c>
      <c r="G25" s="13">
        <f t="shared" si="13"/>
        <v>0</v>
      </c>
      <c r="H25" s="13">
        <f t="shared" si="13"/>
        <v>1252610148</v>
      </c>
    </row>
    <row r="26" spans="1:9">
      <c r="D26" s="183">
        <f>D25-CDPS!D30</f>
        <v>0</v>
      </c>
      <c r="E26" s="183">
        <f>E25-CDPS!E30</f>
        <v>0</v>
      </c>
      <c r="F26" s="183">
        <f>F25-CDPS!F30</f>
        <v>0</v>
      </c>
      <c r="H26" s="183">
        <f>H25-G25-CDPS!H30</f>
        <v>0</v>
      </c>
    </row>
    <row r="27" spans="1:9">
      <c r="E27" s="15"/>
      <c r="F27" s="1029" t="s">
        <v>415</v>
      </c>
      <c r="G27" s="1029"/>
      <c r="H27" s="1029"/>
    </row>
    <row r="28" spans="1:9">
      <c r="F28" s="1029" t="s">
        <v>109</v>
      </c>
      <c r="G28" s="1029"/>
      <c r="H28" s="1029"/>
    </row>
    <row r="29" spans="1:9">
      <c r="E29" s="183"/>
      <c r="F29" s="1029" t="s">
        <v>136</v>
      </c>
      <c r="G29" s="1029"/>
      <c r="H29" s="1029"/>
    </row>
  </sheetData>
  <mergeCells count="9">
    <mergeCell ref="F27:H27"/>
    <mergeCell ref="F28:H28"/>
    <mergeCell ref="F29:H2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4" t="str">
        <f>TH!A1</f>
        <v>Đơn vị: CÔNG TY TNHH SX TM KIM DUNG PHÁT</v>
      </c>
      <c r="B1" s="16"/>
      <c r="C1" s="16"/>
      <c r="G1" s="2"/>
      <c r="H1" s="1038" t="s">
        <v>46</v>
      </c>
      <c r="I1" s="1038"/>
      <c r="J1" s="1038"/>
    </row>
    <row r="2" spans="1:10" s="3" customFormat="1" ht="14.25" customHeight="1">
      <c r="A2" s="583" t="str">
        <f>TH!A2</f>
        <v>Địa chỉ: 1A227/1 Ấp 1, Phạm Văn Hai, Bình Chánh, TPHCM</v>
      </c>
      <c r="B2" s="16"/>
      <c r="C2" s="16"/>
      <c r="G2" s="17"/>
      <c r="H2" s="103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9"/>
      <c r="J2" s="1039"/>
    </row>
    <row r="3" spans="1:10" s="3" customFormat="1" ht="14.25" customHeight="1">
      <c r="A3" s="4"/>
      <c r="B3" s="16"/>
      <c r="C3" s="16"/>
      <c r="G3" s="17"/>
      <c r="H3" s="1039"/>
      <c r="I3" s="1039"/>
      <c r="J3" s="1039"/>
    </row>
    <row r="4" spans="1:10" s="5" customFormat="1" ht="28.5" customHeight="1">
      <c r="A4" s="1040" t="s">
        <v>26</v>
      </c>
      <c r="B4" s="1040"/>
      <c r="C4" s="1040"/>
      <c r="D4" s="1040"/>
      <c r="E4" s="1040"/>
      <c r="F4" s="1040"/>
      <c r="G4" s="1040"/>
      <c r="H4" s="1040"/>
      <c r="I4" s="1040"/>
      <c r="J4" s="104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1" t="s">
        <v>1242</v>
      </c>
      <c r="F7" s="1041"/>
      <c r="G7" s="1041"/>
      <c r="H7" s="104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2"/>
      <c r="D9" s="1042"/>
      <c r="E9" s="1042"/>
      <c r="F9" s="1042"/>
      <c r="G9" s="1042"/>
      <c r="H9" s="1042"/>
      <c r="I9" s="1042"/>
      <c r="J9" s="1042"/>
    </row>
    <row r="10" spans="1:10" s="18" customFormat="1" ht="14.25" customHeight="1">
      <c r="A10" s="1006" t="s">
        <v>20</v>
      </c>
      <c r="B10" s="1037" t="s">
        <v>1</v>
      </c>
      <c r="C10" s="1037"/>
      <c r="D10" s="1006" t="s">
        <v>0</v>
      </c>
      <c r="E10" s="1006" t="s">
        <v>14</v>
      </c>
      <c r="F10" s="1006" t="s">
        <v>30</v>
      </c>
      <c r="G10" s="1043" t="s">
        <v>21</v>
      </c>
      <c r="H10" s="1044"/>
      <c r="I10" s="1043" t="s">
        <v>31</v>
      </c>
      <c r="J10" s="1044"/>
    </row>
    <row r="11" spans="1:10" s="18" customFormat="1" ht="24.75" customHeight="1">
      <c r="A11" s="1006"/>
      <c r="B11" s="30" t="s">
        <v>15</v>
      </c>
      <c r="C11" s="30" t="s">
        <v>32</v>
      </c>
      <c r="D11" s="1006"/>
      <c r="E11" s="1006"/>
      <c r="F11" s="100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VLOOKUP($E$7,'331'!$B$6:$H$24,2,0)</f>
        <v>0</v>
      </c>
      <c r="J13" s="47">
        <f>VLOOKUP($E$7,'331'!$B$6:$H$24,3,0)</f>
        <v>0</v>
      </c>
    </row>
    <row r="14" spans="1:10" s="18" customFormat="1" ht="18" customHeight="1">
      <c r="A14" s="9">
        <f ca="1">IF(ROWS($1:1)&gt;COUNT(Dong),"",OFFSET(TH!C$1,SMALL(Dong,ROWS($1:1)),))</f>
        <v>41756</v>
      </c>
      <c r="B14" s="9" t="str">
        <f ca="1">IF(ROWS($1:1)&gt;COUNT(Dong),"",OFFSET(TH!D$1,SMALL(Dong,ROWS($1:1)),))</f>
        <v>CTGS</v>
      </c>
      <c r="C14" s="9">
        <f ca="1">IF(ROWS($1:1)&gt;COUNT(Dong),"",OFFSET(TH!E$1,SMALL(Dong,ROWS($1:1)),))</f>
        <v>41756</v>
      </c>
      <c r="D14" s="226" t="str">
        <f ca="1">IF(ROWS($1:1)&gt;COUNT(Dong),"",OFFSET(TH!F$1,SMALL(Dong,ROWS($1:1)),))</f>
        <v>Máy sóng giấy carton đầu 3 lớp</v>
      </c>
      <c r="E14" s="46" t="str">
        <f ca="1">IF(ROWS($1:1)&gt;COUNT(Dong),"",IF(OFFSET(TH!L$1,SMALL(Dong,ROWS($1:1)),)="331",OFFSET(TH!M$1,SMALL(Dong,ROWS($1:1)),),OFFSET(TH!L$1,SMALL(Dong,ROWS($1:1)),)))</f>
        <v>2112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500000000</v>
      </c>
      <c r="I14" s="25">
        <f ca="1">IF(D14&lt;&gt;"",MAX(I13+G14-H14-J13,0),0)</f>
        <v>0</v>
      </c>
      <c r="J14" s="25">
        <f ca="1">IF(D14&lt;&gt;"",MAX(J13+H14-I13-G14,0),0)</f>
        <v>500000000</v>
      </c>
    </row>
    <row r="15" spans="1:10" s="18" customFormat="1" ht="18" customHeight="1">
      <c r="A15" s="9">
        <f ca="1">IF(ROWS($1:2)&gt;COUNT(Dong),"",OFFSET(TH!C$1,SMALL(Dong,ROWS($1:2)),))</f>
        <v>41761</v>
      </c>
      <c r="B15" s="9" t="str">
        <f ca="1">IF(ROWS($1:2)&gt;COUNT(Dong),"",OFFSET(TH!D$1,SMALL(Dong,ROWS($1:2)),))</f>
        <v>CTGS</v>
      </c>
      <c r="C15" s="9">
        <f ca="1">IF(ROWS($1:2)&gt;COUNT(Dong),"",OFFSET(TH!E$1,SMALL(Dong,ROWS($1:2)),))</f>
        <v>41761</v>
      </c>
      <c r="D15" s="226" t="str">
        <f ca="1">IF(ROWS($1:2)&gt;COUNT(Dong),"",OFFSET(TH!F$1,SMALL(Dong,ROWS($1:2)),))</f>
        <v>Máy sóng giấy carton đầu 5 lớp</v>
      </c>
      <c r="E15" s="46" t="str">
        <f ca="1">IF(ROWS($1:2)&gt;COUNT(Dong),"",IF(OFFSET(TH!L$1,SMALL(Dong,ROWS($1:2)),)="331",OFFSET(TH!M$1,SMALL(Dong,ROWS($1:2)),),OFFSET(TH!L$1,SMALL(Dong,ROWS($1:2)),)))</f>
        <v>2112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500000000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1000000000</v>
      </c>
    </row>
    <row r="16" spans="1:10" s="18" customFormat="1" ht="18" customHeight="1">
      <c r="A16" s="9">
        <f ca="1">IF(ROWS($1:3)&gt;COUNT(Dong),"",OFFSET(TH!C$1,SMALL(Dong,ROWS($1:3)),))</f>
        <v>41784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41784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1000000000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1000000000</v>
      </c>
      <c r="H51" s="27">
        <f ca="1">SUM(H14:H50)</f>
        <v>1000000000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27/4/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5" t="str">
        <f ca="1">"Ngày 31 tháng  12  năm  "&amp;YEAR($A$14)</f>
        <v>Ngày 31 tháng  12  năm  2014</v>
      </c>
      <c r="F56" s="995"/>
      <c r="G56" s="995"/>
      <c r="H56" s="995"/>
      <c r="I56" s="995"/>
      <c r="J56" s="995"/>
    </row>
    <row r="57" spans="1:11" s="18" customFormat="1" ht="14.25" customHeight="1">
      <c r="C57" s="214" t="s">
        <v>11</v>
      </c>
      <c r="E57" s="995" t="s">
        <v>12</v>
      </c>
      <c r="F57" s="995"/>
      <c r="G57" s="995"/>
      <c r="H57" s="995"/>
      <c r="I57" s="995"/>
      <c r="J57" s="995"/>
    </row>
    <row r="58" spans="1:11" s="18" customFormat="1" ht="14.25" customHeight="1">
      <c r="C58" s="214" t="s">
        <v>13</v>
      </c>
      <c r="E58" s="995" t="s">
        <v>13</v>
      </c>
      <c r="F58" s="995"/>
      <c r="G58" s="995"/>
      <c r="H58" s="995"/>
      <c r="I58" s="995"/>
      <c r="J58" s="995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30" t="s">
        <v>1281</v>
      </c>
      <c r="B1" s="1030"/>
      <c r="C1" s="1030"/>
      <c r="D1" s="1030"/>
      <c r="E1" s="1030"/>
      <c r="F1" s="1030"/>
      <c r="G1" s="1030"/>
      <c r="H1" s="1030"/>
      <c r="I1" s="1030"/>
    </row>
    <row r="2" spans="1:9" s="10" customFormat="1" ht="15.75" customHeight="1">
      <c r="A2" s="1045" t="s">
        <v>35</v>
      </c>
      <c r="B2" s="1046" t="s">
        <v>1282</v>
      </c>
      <c r="C2" s="1046" t="s">
        <v>1283</v>
      </c>
      <c r="D2" s="1046" t="s">
        <v>37</v>
      </c>
      <c r="E2" s="1046"/>
      <c r="F2" s="1046" t="s">
        <v>38</v>
      </c>
      <c r="G2" s="1046"/>
      <c r="H2" s="1047" t="s">
        <v>346</v>
      </c>
      <c r="I2" s="1036"/>
    </row>
    <row r="3" spans="1:9" s="10" customFormat="1" ht="15.75" customHeight="1">
      <c r="A3" s="1045"/>
      <c r="B3" s="1046"/>
      <c r="C3" s="1046"/>
      <c r="D3" s="869" t="s">
        <v>42</v>
      </c>
      <c r="E3" s="869" t="s">
        <v>43</v>
      </c>
      <c r="F3" s="869" t="s">
        <v>42</v>
      </c>
      <c r="G3" s="869" t="s">
        <v>43</v>
      </c>
      <c r="H3" s="869" t="s">
        <v>42</v>
      </c>
      <c r="I3" s="869" t="s">
        <v>43</v>
      </c>
    </row>
    <row r="4" spans="1:9" s="10" customFormat="1" ht="18" customHeight="1">
      <c r="A4" s="447">
        <f t="shared" ref="A4:A10" si="0">IF(B4&lt;&gt;"",ROW()-3,"")</f>
        <v>1</v>
      </c>
      <c r="B4" s="897" t="s">
        <v>1305</v>
      </c>
      <c r="C4" s="873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71">
        <f t="shared" ref="H4:H10" si="1">ROUND(MAX(D4+F4-E4-G4,0),2)</f>
        <v>0</v>
      </c>
      <c r="I4" s="871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1292</v>
      </c>
      <c r="C5" s="870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71">
        <f t="shared" si="1"/>
        <v>0</v>
      </c>
      <c r="I5" s="871">
        <f t="shared" si="2"/>
        <v>0</v>
      </c>
    </row>
    <row r="6" spans="1:9" s="10" customFormat="1" ht="18" customHeight="1">
      <c r="A6" s="447">
        <f t="shared" si="0"/>
        <v>3</v>
      </c>
      <c r="B6" s="7" t="s">
        <v>1302</v>
      </c>
      <c r="C6" s="870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71">
        <f t="shared" si="1"/>
        <v>0</v>
      </c>
      <c r="I6" s="871">
        <f t="shared" si="2"/>
        <v>0</v>
      </c>
    </row>
    <row r="7" spans="1:9" s="10" customFormat="1" ht="18" customHeight="1">
      <c r="A7" s="447">
        <f t="shared" si="0"/>
        <v>4</v>
      </c>
      <c r="B7" s="7" t="s">
        <v>1309</v>
      </c>
      <c r="C7" s="870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71">
        <f t="shared" si="1"/>
        <v>0</v>
      </c>
      <c r="I7" s="871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1311</v>
      </c>
      <c r="C8" s="870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71">
        <f t="shared" si="1"/>
        <v>0</v>
      </c>
      <c r="I8" s="871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1317</v>
      </c>
      <c r="C9" s="870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71">
        <f t="shared" si="1"/>
        <v>0</v>
      </c>
      <c r="I9" s="871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1319</v>
      </c>
      <c r="C10" s="870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71">
        <f t="shared" si="1"/>
        <v>0</v>
      </c>
      <c r="I10" s="871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70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71">
        <f t="shared" ref="H11" si="4">ROUND(MAX(D11+F11-E11-G11,0),2)</f>
        <v>0</v>
      </c>
      <c r="I11" s="871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74"/>
      <c r="C12" s="875"/>
      <c r="D12" s="182"/>
      <c r="E12" s="182"/>
      <c r="F12" s="182"/>
      <c r="G12" s="182"/>
      <c r="H12" s="872"/>
      <c r="I12" s="872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94" customWidth="1"/>
    <col min="2" max="2" width="8.28515625" style="894" customWidth="1"/>
    <col min="3" max="3" width="9.28515625" style="894" customWidth="1"/>
    <col min="4" max="4" width="37.28515625" style="894" customWidth="1"/>
    <col min="5" max="5" width="10.140625" style="894" customWidth="1"/>
    <col min="6" max="9" width="15" style="894" customWidth="1"/>
    <col min="10" max="16384" width="9.140625" style="894"/>
  </cols>
  <sheetData>
    <row r="1" spans="1:9" s="877" customFormat="1" ht="16.5" customHeight="1">
      <c r="A1" s="584" t="str">
        <f>TH!A1</f>
        <v>Đơn vị: CÔNG TY TNHH SX TM KIM DUNG PHÁT</v>
      </c>
      <c r="B1" s="876"/>
      <c r="C1" s="876"/>
      <c r="F1" s="876"/>
      <c r="G1" s="1038" t="s">
        <v>1284</v>
      </c>
      <c r="H1" s="1038"/>
      <c r="I1" s="1038"/>
    </row>
    <row r="2" spans="1:9" s="877" customFormat="1" ht="16.5" customHeight="1">
      <c r="A2" s="583" t="str">
        <f>TH!A2</f>
        <v>Địa chỉ: 1A227/1 Ấp 1, Phạm Văn Hai, Bình Chánh, TPHCM</v>
      </c>
      <c r="B2" s="839"/>
      <c r="C2" s="839"/>
      <c r="F2" s="706"/>
      <c r="G2" s="1039" t="s">
        <v>1285</v>
      </c>
      <c r="H2" s="1039"/>
      <c r="I2" s="1039"/>
    </row>
    <row r="3" spans="1:9" s="877" customFormat="1" ht="16.5" customHeight="1">
      <c r="A3" s="839"/>
      <c r="B3" s="839"/>
      <c r="C3" s="839"/>
      <c r="F3" s="706"/>
      <c r="G3" s="1039"/>
      <c r="H3" s="1039"/>
      <c r="I3" s="1039"/>
    </row>
    <row r="4" spans="1:9" s="877" customFormat="1" ht="16.5" customHeight="1">
      <c r="A4" s="839"/>
      <c r="B4" s="839"/>
      <c r="C4" s="839"/>
      <c r="F4" s="706"/>
      <c r="G4" s="840"/>
      <c r="H4" s="840"/>
      <c r="I4" s="840"/>
    </row>
    <row r="5" spans="1:9" s="18" customFormat="1" ht="23.25" customHeight="1">
      <c r="A5" s="1053" t="s">
        <v>1286</v>
      </c>
      <c r="B5" s="1053"/>
      <c r="C5" s="1053"/>
      <c r="D5" s="1053"/>
      <c r="E5" s="1053"/>
      <c r="F5" s="1053"/>
      <c r="G5" s="1053"/>
      <c r="H5" s="1053"/>
      <c r="I5" s="1053"/>
    </row>
    <row r="6" spans="1:9" s="18" customFormat="1">
      <c r="A6" s="995" t="s">
        <v>1287</v>
      </c>
      <c r="B6" s="995"/>
      <c r="C6" s="995"/>
      <c r="D6" s="995"/>
      <c r="E6" s="995"/>
      <c r="F6" s="995"/>
      <c r="G6" s="995"/>
      <c r="H6" s="995"/>
      <c r="I6" s="995"/>
    </row>
    <row r="7" spans="1:9" s="18" customFormat="1">
      <c r="A7" s="995" t="s">
        <v>1288</v>
      </c>
      <c r="B7" s="995"/>
      <c r="C7" s="995"/>
      <c r="D7" s="995"/>
      <c r="E7" s="995"/>
      <c r="F7" s="995"/>
      <c r="G7" s="995"/>
      <c r="H7" s="995"/>
      <c r="I7" s="995"/>
    </row>
    <row r="8" spans="1:9" s="18" customFormat="1" ht="15" customHeight="1">
      <c r="A8" s="995" t="str">
        <f>IF(MID($E$9,4,4)="1015","Đối tượng cho vay: NH Eximbank CN Q11","Đối tượng cho vay: NH Eximbank CN Q4")</f>
        <v>Đối tượng cho vay: NH Eximbank CN Q4</v>
      </c>
      <c r="B8" s="995"/>
      <c r="C8" s="995"/>
      <c r="D8" s="995"/>
      <c r="E8" s="995"/>
      <c r="F8" s="995"/>
      <c r="G8" s="995"/>
      <c r="H8" s="995"/>
      <c r="I8" s="995"/>
    </row>
    <row r="9" spans="1:9" s="18" customFormat="1">
      <c r="A9" s="837"/>
      <c r="B9" s="837"/>
      <c r="C9" s="837"/>
      <c r="D9" s="20" t="s">
        <v>1289</v>
      </c>
      <c r="E9" s="1048" t="s">
        <v>1292</v>
      </c>
      <c r="F9" s="1048"/>
      <c r="G9" s="841" t="str">
        <f>"ngày "&amp; TEXT(VLOOKUP($E$9,'341'!$B$4:$I$12,2,0),"dd/MM/yy")</f>
        <v>ngày 29/05/14</v>
      </c>
      <c r="H9" s="837"/>
      <c r="I9" s="837"/>
    </row>
    <row r="10" spans="1:9" s="18" customFormat="1">
      <c r="A10" s="995" t="s">
        <v>1296</v>
      </c>
      <c r="B10" s="995"/>
      <c r="C10" s="995"/>
      <c r="D10" s="995"/>
      <c r="E10" s="995"/>
      <c r="F10" s="995"/>
      <c r="G10" s="995"/>
      <c r="H10" s="995"/>
      <c r="I10" s="995"/>
    </row>
    <row r="11" spans="1:9" s="18" customFormat="1">
      <c r="C11" s="1042"/>
      <c r="D11" s="1042"/>
      <c r="E11" s="1042"/>
      <c r="F11" s="1042"/>
      <c r="G11" s="1042"/>
      <c r="H11" s="1042"/>
      <c r="I11" s="1042"/>
    </row>
    <row r="12" spans="1:9" s="18" customFormat="1" ht="15.75" customHeight="1">
      <c r="A12" s="1049" t="s">
        <v>20</v>
      </c>
      <c r="B12" s="1043" t="s">
        <v>1</v>
      </c>
      <c r="C12" s="1044"/>
      <c r="D12" s="1049" t="s">
        <v>0</v>
      </c>
      <c r="E12" s="1049" t="s">
        <v>14</v>
      </c>
      <c r="F12" s="1051" t="s">
        <v>1293</v>
      </c>
      <c r="G12" s="1052"/>
      <c r="H12" s="1051" t="s">
        <v>1294</v>
      </c>
      <c r="I12" s="1052"/>
    </row>
    <row r="13" spans="1:9" s="18" customFormat="1" ht="33.75" customHeight="1">
      <c r="A13" s="1050"/>
      <c r="B13" s="242" t="s">
        <v>15</v>
      </c>
      <c r="C13" s="242" t="s">
        <v>32</v>
      </c>
      <c r="D13" s="1050"/>
      <c r="E13" s="1050"/>
      <c r="F13" s="895" t="s">
        <v>22</v>
      </c>
      <c r="G13" s="895" t="s">
        <v>23</v>
      </c>
      <c r="H13" s="895" t="s">
        <v>22</v>
      </c>
      <c r="I13" s="895" t="s">
        <v>23</v>
      </c>
    </row>
    <row r="14" spans="1:9" s="837" customFormat="1">
      <c r="A14" s="838" t="s">
        <v>2</v>
      </c>
      <c r="B14" s="842" t="s">
        <v>3</v>
      </c>
      <c r="C14" s="838" t="s">
        <v>4</v>
      </c>
      <c r="D14" s="838" t="s">
        <v>5</v>
      </c>
      <c r="E14" s="838" t="s">
        <v>6</v>
      </c>
      <c r="F14" s="838">
        <v>3</v>
      </c>
      <c r="G14" s="838">
        <v>5</v>
      </c>
      <c r="H14" s="838">
        <v>7</v>
      </c>
      <c r="I14" s="838">
        <v>9</v>
      </c>
    </row>
    <row r="15" spans="1:9" s="18" customFormat="1" ht="19.5" customHeight="1">
      <c r="A15" s="878"/>
      <c r="B15" s="878"/>
      <c r="C15" s="878"/>
      <c r="D15" s="237" t="s">
        <v>7</v>
      </c>
      <c r="E15" s="238"/>
      <c r="F15" s="878"/>
      <c r="G15" s="878"/>
      <c r="H15" s="879">
        <f>VLOOKUP($E$9,'341'!$B$4:$I$12,3,0)</f>
        <v>0</v>
      </c>
      <c r="I15" s="879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80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73">
        <f ca="1">IF(ROWS($1:1)&gt;COUNT(Dong4),"",IF(LEFT(OFFSET(TH!L$1,SMALL(Dong4,ROWS($1:1)),),3)="341",OFFSET(TH!K$1,SMALL(Dong4,ROWS($1:1)),),0))</f>
        <v>0</v>
      </c>
      <c r="G16" s="773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81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80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73">
        <f ca="1">IF(ROWS($1:2)&gt;COUNT(Dong4),"",IF(LEFT(OFFSET(TH!L$1,SMALL(Dong4,ROWS($1:2)),),3)="341",OFFSET(TH!K$1,SMALL(Dong4,ROWS($1:2)),),0))</f>
        <v>105000000</v>
      </c>
      <c r="G17" s="773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1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80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73" t="str">
        <f ca="1">IF(ROWS($1:3)&gt;COUNT(Dong4),"",IF(LEFT(OFFSET(TH!L$1,SMALL(Dong4,ROWS($1:3)),),3)="341",OFFSET(TH!K$1,SMALL(Dong4,ROWS($1:3)),),0))</f>
        <v/>
      </c>
      <c r="G18" s="773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1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80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73" t="str">
        <f ca="1">IF(ROWS($1:4)&gt;COUNT(Dong4),"",IF(LEFT(OFFSET(TH!L$1,SMALL(Dong4,ROWS($1:4)),),3)="341",OFFSET(TH!K$1,SMALL(Dong4,ROWS($1:4)),),0))</f>
        <v/>
      </c>
      <c r="G19" s="773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1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80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73" t="str">
        <f ca="1">IF(ROWS($1:5)&gt;COUNT(Dong4),"",IF(LEFT(OFFSET(TH!L$1,SMALL(Dong4,ROWS($1:5)),),3)="341",OFFSET(TH!K$1,SMALL(Dong4,ROWS($1:5)),),0))</f>
        <v/>
      </c>
      <c r="G20" s="773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1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80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73" t="str">
        <f ca="1">IF(ROWS($1:6)&gt;COUNT(Dong4),"",IF(LEFT(OFFSET(TH!L$1,SMALL(Dong4,ROWS($1:6)),),3)="341",OFFSET(TH!K$1,SMALL(Dong4,ROWS($1:6)),),0))</f>
        <v/>
      </c>
      <c r="G21" s="773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1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80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73" t="str">
        <f ca="1">IF(ROWS($1:7)&gt;COUNT(Dong4),"",IF(LEFT(OFFSET(TH!L$1,SMALL(Dong4,ROWS($1:7)),),3)="341",OFFSET(TH!K$1,SMALL(Dong4,ROWS($1:7)),),0))</f>
        <v/>
      </c>
      <c r="G22" s="773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1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80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73" t="str">
        <f ca="1">IF(ROWS($1:8)&gt;COUNT(Dong4),"",IF(LEFT(OFFSET(TH!L$1,SMALL(Dong4,ROWS($1:8)),),3)="341",OFFSET(TH!K$1,SMALL(Dong4,ROWS($1:8)),),0))</f>
        <v/>
      </c>
      <c r="G23" s="773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1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80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73" t="str">
        <f ca="1">IF(ROWS($1:9)&gt;COUNT(Dong4),"",IF(LEFT(OFFSET(TH!L$1,SMALL(Dong4,ROWS($1:9)),),3)="341",OFFSET(TH!K$1,SMALL(Dong4,ROWS($1:9)),),0))</f>
        <v/>
      </c>
      <c r="G24" s="773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1" customFormat="1" ht="19.5" customHeight="1">
      <c r="A25" s="882"/>
      <c r="B25" s="882"/>
      <c r="C25" s="882"/>
      <c r="D25" s="883"/>
      <c r="E25" s="884"/>
      <c r="F25" s="885"/>
      <c r="G25" s="886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54">
        <f ca="1">SUM(F16:F25)</f>
        <v>105000000</v>
      </c>
      <c r="G26" s="754">
        <f ca="1">SUM(G16:G25)</f>
        <v>105000000</v>
      </c>
      <c r="H26" s="887" t="s">
        <v>19</v>
      </c>
      <c r="I26" s="887" t="s">
        <v>19</v>
      </c>
    </row>
    <row r="27" spans="1:9" s="18" customFormat="1" ht="19.5" customHeight="1">
      <c r="A27" s="888"/>
      <c r="B27" s="888"/>
      <c r="C27" s="888"/>
      <c r="D27" s="240" t="s">
        <v>10</v>
      </c>
      <c r="E27" s="241" t="s">
        <v>19</v>
      </c>
      <c r="F27" s="241" t="s">
        <v>19</v>
      </c>
      <c r="G27" s="241" t="s">
        <v>19</v>
      </c>
      <c r="H27" s="889">
        <f ca="1">MAX(H15+F26-I15-G26,0)</f>
        <v>0</v>
      </c>
      <c r="I27" s="889">
        <f ca="1">MAX(I15+G26-H15-F26,0)</f>
        <v>0</v>
      </c>
    </row>
    <row r="28" spans="1:9" s="18" customFormat="1">
      <c r="E28" s="837"/>
    </row>
    <row r="29" spans="1:9" s="18" customFormat="1">
      <c r="A29" s="890" t="s">
        <v>1290</v>
      </c>
      <c r="E29" s="837"/>
    </row>
    <row r="30" spans="1:9" s="18" customFormat="1">
      <c r="A30" s="890" t="str">
        <f>"- Ngày mở sổ: "&amp; TEXT(VLOOKUP($E$9,'341'!$B$4:$I$12,2,0),"dd/MM/yy")</f>
        <v>- Ngày mở sổ: 29/05/14</v>
      </c>
      <c r="E30" s="837"/>
    </row>
    <row r="31" spans="1:9" s="18" customFormat="1">
      <c r="E31" s="837"/>
      <c r="H31" s="837" t="s">
        <v>1295</v>
      </c>
    </row>
    <row r="32" spans="1:9" s="18" customFormat="1">
      <c r="C32" s="837" t="s">
        <v>11</v>
      </c>
      <c r="E32" s="837"/>
      <c r="H32" s="837" t="s">
        <v>12</v>
      </c>
    </row>
    <row r="33" spans="2:8" s="18" customFormat="1">
      <c r="C33" s="837" t="s">
        <v>13</v>
      </c>
      <c r="E33" s="837"/>
      <c r="H33" s="837" t="s">
        <v>13</v>
      </c>
    </row>
    <row r="34" spans="2:8" s="18" customFormat="1">
      <c r="E34" s="837"/>
    </row>
    <row r="35" spans="2:8" s="18" customFormat="1">
      <c r="E35" s="837"/>
    </row>
    <row r="36" spans="2:8" s="891" customFormat="1"/>
    <row r="37" spans="2:8" s="891" customFormat="1"/>
    <row r="38" spans="2:8" s="891" customFormat="1"/>
    <row r="39" spans="2:8" s="891" customFormat="1"/>
    <row r="40" spans="2:8" s="891" customFormat="1" ht="15">
      <c r="B40" s="892"/>
      <c r="C40" s="893" t="s">
        <v>1291</v>
      </c>
      <c r="D40" s="892"/>
    </row>
    <row r="41" spans="2:8" s="891" customFormat="1"/>
    <row r="42" spans="2:8" s="891" customFormat="1"/>
    <row r="43" spans="2:8" s="891" customFormat="1"/>
    <row r="44" spans="2:8" s="891" customFormat="1"/>
    <row r="45" spans="2:8" s="891" customFormat="1"/>
    <row r="46" spans="2:8" s="891" customFormat="1"/>
    <row r="47" spans="2:8" s="891" customFormat="1"/>
    <row r="48" spans="2:8" s="891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09" t="str">
        <f>TH!$A$1</f>
        <v>Đơn vị: CÔNG TY TNHH SX TM KIM DUNG PHÁT</v>
      </c>
      <c r="C2" s="265"/>
      <c r="F2" s="266"/>
      <c r="G2" s="266"/>
      <c r="H2" s="266"/>
      <c r="I2" s="266"/>
      <c r="J2" s="1056" t="s">
        <v>181</v>
      </c>
      <c r="K2" s="1056"/>
      <c r="L2" s="1056"/>
      <c r="M2" s="1056"/>
      <c r="N2" s="266"/>
    </row>
    <row r="3" spans="1:14">
      <c r="A3" s="810" t="str">
        <f>TH!$A$2</f>
        <v>Địa chỉ: 1A227/1 Ấp 1, Phạm Văn Hai, Bình Chánh, TPHCM</v>
      </c>
      <c r="C3" s="265"/>
      <c r="F3" s="267"/>
      <c r="G3" s="267"/>
      <c r="H3" s="267"/>
      <c r="I3" s="267"/>
      <c r="J3" s="106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4"/>
      <c r="L3" s="1064"/>
      <c r="M3" s="1064"/>
      <c r="N3" s="267"/>
    </row>
    <row r="4" spans="1:14">
      <c r="F4" s="267"/>
      <c r="G4" s="267"/>
      <c r="H4" s="267"/>
      <c r="I4" s="267"/>
      <c r="J4" s="1064"/>
      <c r="K4" s="1064"/>
      <c r="L4" s="1064"/>
      <c r="M4" s="1064"/>
      <c r="N4" s="267"/>
    </row>
    <row r="5" spans="1:14" s="268" customFormat="1" ht="23.25" customHeight="1">
      <c r="A5" s="1055" t="s">
        <v>182</v>
      </c>
      <c r="B5" s="1055"/>
      <c r="C5" s="1055"/>
      <c r="D5" s="1055"/>
      <c r="E5" s="1055"/>
      <c r="F5" s="1055"/>
      <c r="G5" s="1055"/>
      <c r="H5" s="1055"/>
      <c r="I5" s="1055"/>
      <c r="J5" s="1055"/>
      <c r="K5" s="1055"/>
      <c r="L5" s="1055"/>
      <c r="M5" s="1055"/>
      <c r="N5" s="1055"/>
    </row>
    <row r="6" spans="1:14">
      <c r="A6" s="1056" t="s">
        <v>416</v>
      </c>
      <c r="B6" s="1056" t="s">
        <v>183</v>
      </c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M6" s="1056"/>
      <c r="N6" s="1056"/>
    </row>
    <row r="7" spans="1:14"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</row>
    <row r="8" spans="1:14" ht="15.75" customHeight="1">
      <c r="A8" s="1058" t="s">
        <v>20</v>
      </c>
      <c r="B8" s="1059" t="s">
        <v>1</v>
      </c>
      <c r="C8" s="1060"/>
      <c r="D8" s="1058" t="s">
        <v>0</v>
      </c>
      <c r="E8" s="1058" t="s">
        <v>14</v>
      </c>
      <c r="F8" s="1063" t="s">
        <v>21</v>
      </c>
      <c r="G8" s="1063"/>
      <c r="H8" s="1063"/>
      <c r="I8" s="1063"/>
      <c r="J8" s="1063"/>
      <c r="K8" s="1063"/>
      <c r="L8" s="1063" t="s">
        <v>31</v>
      </c>
      <c r="M8" s="1063"/>
      <c r="N8" s="1063"/>
    </row>
    <row r="9" spans="1:14" ht="15.75" customHeight="1">
      <c r="A9" s="1058"/>
      <c r="B9" s="1061"/>
      <c r="C9" s="1062"/>
      <c r="D9" s="1058"/>
      <c r="E9" s="1058"/>
      <c r="F9" s="1063" t="s">
        <v>184</v>
      </c>
      <c r="G9" s="1063"/>
      <c r="H9" s="1063"/>
      <c r="I9" s="1063" t="s">
        <v>185</v>
      </c>
      <c r="J9" s="1063"/>
      <c r="K9" s="1063"/>
      <c r="L9" s="1058" t="s">
        <v>186</v>
      </c>
      <c r="M9" s="1058" t="s">
        <v>187</v>
      </c>
      <c r="N9" s="1058" t="s">
        <v>188</v>
      </c>
    </row>
    <row r="10" spans="1:14" ht="15.75" customHeight="1">
      <c r="A10" s="1058"/>
      <c r="B10" s="1066" t="s">
        <v>15</v>
      </c>
      <c r="C10" s="1066" t="s">
        <v>32</v>
      </c>
      <c r="D10" s="1058"/>
      <c r="E10" s="1058"/>
      <c r="F10" s="1068" t="s">
        <v>186</v>
      </c>
      <c r="G10" s="1068" t="s">
        <v>187</v>
      </c>
      <c r="H10" s="1068" t="s">
        <v>188</v>
      </c>
      <c r="I10" s="1068" t="s">
        <v>186</v>
      </c>
      <c r="J10" s="1068" t="s">
        <v>187</v>
      </c>
      <c r="K10" s="1068" t="s">
        <v>188</v>
      </c>
      <c r="L10" s="1065"/>
      <c r="M10" s="1065"/>
      <c r="N10" s="1065"/>
    </row>
    <row r="11" spans="1:14">
      <c r="A11" s="1058"/>
      <c r="B11" s="1067"/>
      <c r="C11" s="1067"/>
      <c r="D11" s="1058"/>
      <c r="E11" s="1058"/>
      <c r="F11" s="1069"/>
      <c r="G11" s="1069"/>
      <c r="H11" s="1069"/>
      <c r="I11" s="1069"/>
      <c r="J11" s="1069"/>
      <c r="K11" s="1069"/>
      <c r="L11" s="1065"/>
      <c r="M11" s="1065"/>
      <c r="N11" s="1065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1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CDPS!$D$45</f>
        <v>1900000000</v>
      </c>
      <c r="M13" s="271"/>
      <c r="N13" s="271"/>
    </row>
    <row r="14" spans="1:14">
      <c r="A14" s="813">
        <v>40634</v>
      </c>
      <c r="B14" s="695" t="s">
        <v>352</v>
      </c>
      <c r="C14" s="813">
        <v>40634</v>
      </c>
      <c r="D14" s="274" t="s">
        <v>399</v>
      </c>
      <c r="E14" s="695" t="s">
        <v>47</v>
      </c>
      <c r="F14" s="274"/>
      <c r="G14" s="274"/>
      <c r="H14" s="274"/>
      <c r="I14" s="345">
        <v>1700000000</v>
      </c>
      <c r="J14" s="274"/>
      <c r="K14" s="274"/>
      <c r="L14" s="698">
        <f>L13+I14-G14</f>
        <v>3600000000</v>
      </c>
      <c r="M14" s="274"/>
      <c r="N14" s="274"/>
    </row>
    <row r="15" spans="1:14">
      <c r="A15" s="813">
        <v>40634</v>
      </c>
      <c r="B15" s="695" t="s">
        <v>353</v>
      </c>
      <c r="C15" s="813">
        <v>40634</v>
      </c>
      <c r="D15" s="275" t="s">
        <v>400</v>
      </c>
      <c r="E15" s="696" t="s">
        <v>47</v>
      </c>
      <c r="F15" s="275"/>
      <c r="G15" s="275"/>
      <c r="H15" s="275"/>
      <c r="I15" s="360">
        <v>100000000</v>
      </c>
      <c r="J15" s="275"/>
      <c r="K15" s="275"/>
      <c r="L15" s="698">
        <f t="shared" ref="L15:L16" si="0">L14+I15-G15</f>
        <v>3700000000</v>
      </c>
      <c r="M15" s="275"/>
      <c r="N15" s="275"/>
    </row>
    <row r="16" spans="1:14">
      <c r="A16" s="813">
        <v>40634</v>
      </c>
      <c r="B16" s="695" t="s">
        <v>357</v>
      </c>
      <c r="C16" s="813">
        <v>40634</v>
      </c>
      <c r="D16" s="275" t="s">
        <v>401</v>
      </c>
      <c r="E16" s="696" t="s">
        <v>47</v>
      </c>
      <c r="F16" s="275"/>
      <c r="G16" s="275"/>
      <c r="H16" s="275"/>
      <c r="I16" s="360">
        <v>100000000</v>
      </c>
      <c r="J16" s="275"/>
      <c r="K16" s="275"/>
      <c r="L16" s="698">
        <f t="shared" si="0"/>
        <v>3800000000</v>
      </c>
      <c r="M16" s="275"/>
      <c r="N16" s="275"/>
    </row>
    <row r="17" spans="1:14">
      <c r="A17" s="695"/>
      <c r="B17" s="274"/>
      <c r="C17" s="69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5"/>
      <c r="B18" s="274"/>
      <c r="C18" s="695"/>
      <c r="D18" s="276" t="s">
        <v>133</v>
      </c>
      <c r="E18" s="474" t="s">
        <v>19</v>
      </c>
      <c r="F18" s="277"/>
      <c r="G18" s="277"/>
      <c r="H18" s="277"/>
      <c r="I18" s="697">
        <f>SUM(I13:I17)</f>
        <v>1900000000</v>
      </c>
      <c r="J18" s="277"/>
      <c r="K18" s="277"/>
      <c r="L18" s="699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4" t="str">
        <f>"Ngày 31 tháng  12  năm  "&amp;YEAR($A$14)</f>
        <v>Ngày 31 tháng  12  năm  2011</v>
      </c>
      <c r="F23" s="1054"/>
      <c r="G23" s="1054"/>
      <c r="H23" s="1054"/>
      <c r="I23" s="1054"/>
      <c r="J23" s="1054"/>
      <c r="K23" s="1054"/>
      <c r="L23" s="1054"/>
      <c r="M23" s="1054"/>
      <c r="N23" s="1054"/>
    </row>
    <row r="24" spans="1:14">
      <c r="A24" s="1054" t="s">
        <v>11</v>
      </c>
      <c r="B24" s="1054"/>
      <c r="C24" s="1054"/>
      <c r="D24" s="1054"/>
      <c r="E24" s="1054" t="s">
        <v>12</v>
      </c>
      <c r="F24" s="1054"/>
      <c r="G24" s="1054"/>
      <c r="H24" s="1054"/>
      <c r="I24" s="1054"/>
      <c r="J24" s="1054"/>
      <c r="K24" s="1054"/>
      <c r="L24" s="1054"/>
      <c r="M24" s="1054"/>
      <c r="N24" s="1054"/>
    </row>
    <row r="25" spans="1:14">
      <c r="A25" s="1054" t="s">
        <v>13</v>
      </c>
      <c r="B25" s="1054"/>
      <c r="C25" s="1054"/>
      <c r="D25" s="1054"/>
      <c r="E25" s="1054" t="s">
        <v>13</v>
      </c>
      <c r="F25" s="1054"/>
      <c r="G25" s="1054"/>
      <c r="H25" s="1054"/>
      <c r="I25" s="1054"/>
      <c r="J25" s="1054"/>
      <c r="K25" s="1054"/>
      <c r="L25" s="1054"/>
      <c r="M25" s="1054"/>
      <c r="N25" s="105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325" activePane="bottomLeft" state="frozen"/>
      <selection activeCell="A9" sqref="A9"/>
      <selection pane="bottomLeft" activeCell="K15" sqref="K15:L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10.710937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09" t="str">
        <f>TH!$A$1</f>
        <v>Đơn vị: CÔNG TY TNHH SX TM KIM DUNG PHÁT</v>
      </c>
      <c r="C1" s="283"/>
      <c r="D1" s="283"/>
      <c r="E1" s="283"/>
      <c r="F1" s="284"/>
      <c r="G1" s="284"/>
      <c r="H1" s="1038" t="s">
        <v>190</v>
      </c>
      <c r="I1" s="1038"/>
      <c r="J1" s="1038"/>
      <c r="K1" s="1038"/>
      <c r="L1" s="1038"/>
      <c r="M1" s="700"/>
      <c r="N1" s="701"/>
    </row>
    <row r="2" spans="1:14" s="263" customFormat="1" ht="14.25" customHeight="1">
      <c r="B2" s="810" t="str">
        <f>TH!$A$2</f>
        <v>Địa chỉ: 1A227/1 Ấp 1, Phạm Văn Hai, Bình Chánh, TPHCM</v>
      </c>
      <c r="C2" s="285"/>
      <c r="D2" s="285"/>
      <c r="E2" s="285"/>
      <c r="F2" s="285"/>
      <c r="G2" s="285"/>
      <c r="H2" s="1039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9"/>
      <c r="J2" s="1039"/>
      <c r="K2" s="1039"/>
      <c r="L2" s="1039"/>
      <c r="M2" s="706"/>
      <c r="N2" s="701"/>
    </row>
    <row r="3" spans="1:14" s="263" customFormat="1" ht="14.25" customHeight="1">
      <c r="B3" s="285"/>
      <c r="C3" s="285"/>
      <c r="D3" s="285"/>
      <c r="E3" s="285"/>
      <c r="F3" s="285"/>
      <c r="G3" s="285"/>
      <c r="H3" s="1039"/>
      <c r="I3" s="1039"/>
      <c r="J3" s="1039"/>
      <c r="K3" s="1039"/>
      <c r="L3" s="1039"/>
      <c r="M3" s="707"/>
      <c r="N3" s="701"/>
    </row>
    <row r="4" spans="1:14" s="286" customFormat="1" ht="27.75" customHeight="1">
      <c r="B4" s="1078" t="s">
        <v>191</v>
      </c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N4" s="702"/>
    </row>
    <row r="5" spans="1:14" s="286" customFormat="1" ht="15" customHeight="1">
      <c r="B5" s="1077" t="s">
        <v>192</v>
      </c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N5" s="702"/>
    </row>
    <row r="6" spans="1:14" s="286" customFormat="1" ht="12.75" customHeight="1">
      <c r="B6" s="1077" t="s">
        <v>193</v>
      </c>
      <c r="C6" s="1077"/>
      <c r="D6" s="1077"/>
      <c r="E6" s="1077"/>
      <c r="F6" s="1077"/>
      <c r="G6" s="1077"/>
      <c r="H6" s="1077"/>
      <c r="I6" s="1077"/>
      <c r="J6" s="1077"/>
      <c r="K6" s="1077"/>
      <c r="L6" s="1077"/>
      <c r="N6" s="702"/>
    </row>
    <row r="7" spans="1:14" s="287" customFormat="1" ht="24" customHeight="1">
      <c r="C7" s="1070" t="s">
        <v>194</v>
      </c>
      <c r="D7" s="1070"/>
      <c r="E7" s="1070"/>
      <c r="F7" s="1070"/>
      <c r="G7" s="1070"/>
      <c r="H7" s="1070"/>
      <c r="I7" s="1070"/>
      <c r="J7" s="1070"/>
      <c r="K7" s="1070"/>
      <c r="L7" s="1070"/>
      <c r="N7" s="703"/>
    </row>
    <row r="8" spans="1:14" ht="20.25" customHeight="1">
      <c r="B8" s="1071" t="s">
        <v>35</v>
      </c>
      <c r="C8" s="1072" t="s">
        <v>195</v>
      </c>
      <c r="D8" s="1073" t="s">
        <v>196</v>
      </c>
      <c r="E8" s="1075" t="s">
        <v>139</v>
      </c>
      <c r="F8" s="1075"/>
      <c r="G8" s="1075"/>
      <c r="H8" s="1075"/>
      <c r="I8" s="1075"/>
      <c r="J8" s="1075"/>
      <c r="K8" s="1075"/>
      <c r="L8" s="1075"/>
    </row>
    <row r="9" spans="1:14" ht="20.25" customHeight="1">
      <c r="B9" s="1071"/>
      <c r="C9" s="1072"/>
      <c r="D9" s="1074"/>
      <c r="E9" s="1075" t="s">
        <v>197</v>
      </c>
      <c r="F9" s="1075"/>
      <c r="G9" s="1076" t="s">
        <v>198</v>
      </c>
      <c r="H9" s="1076"/>
      <c r="I9" s="1076" t="s">
        <v>199</v>
      </c>
      <c r="J9" s="1076"/>
      <c r="K9" s="1076" t="s">
        <v>200</v>
      </c>
      <c r="L9" s="1076"/>
    </row>
    <row r="10" spans="1:14" ht="20.25" customHeight="1">
      <c r="B10" s="1071"/>
      <c r="C10" s="1072"/>
      <c r="D10" s="289"/>
      <c r="E10" s="290" t="s">
        <v>201</v>
      </c>
      <c r="F10" s="290" t="s">
        <v>202</v>
      </c>
      <c r="G10" s="290" t="s">
        <v>201</v>
      </c>
      <c r="H10" s="290" t="s">
        <v>202</v>
      </c>
      <c r="I10" s="290" t="s">
        <v>201</v>
      </c>
      <c r="J10" s="290" t="s">
        <v>202</v>
      </c>
      <c r="K10" s="290" t="s">
        <v>201</v>
      </c>
      <c r="L10" s="290" t="s">
        <v>202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4"/>
    </row>
    <row r="12" spans="1:14" ht="18.75" customHeight="1">
      <c r="A12" s="293" t="str">
        <f t="shared" ref="A12:A21" si="0">IF(B12&lt;&gt;"","VL","")</f>
        <v>VL</v>
      </c>
      <c r="B12" s="294">
        <f t="shared" ref="B12:B20" si="1">IF(C12&lt;&gt;"",ROW()-11,"")</f>
        <v>1</v>
      </c>
      <c r="C12" s="189" t="s">
        <v>350</v>
      </c>
      <c r="D12" s="29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93"/>
    </row>
    <row r="13" spans="1:14" ht="18.75" customHeight="1">
      <c r="A13" s="293" t="str">
        <f t="shared" si="0"/>
        <v>VL</v>
      </c>
      <c r="B13" s="294">
        <f t="shared" si="1"/>
        <v>2</v>
      </c>
      <c r="C13" s="189" t="s">
        <v>330</v>
      </c>
      <c r="D13" s="29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93"/>
    </row>
    <row r="14" spans="1:14" ht="18.75" customHeight="1">
      <c r="A14" s="293" t="str">
        <f t="shared" si="0"/>
        <v>VL</v>
      </c>
      <c r="B14" s="294">
        <f t="shared" si="1"/>
        <v>3</v>
      </c>
      <c r="C14" s="189" t="s">
        <v>1056</v>
      </c>
      <c r="D14" s="29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93"/>
    </row>
    <row r="15" spans="1:14" ht="18.75" customHeight="1">
      <c r="A15" s="293" t="str">
        <f t="shared" si="0"/>
        <v>VL</v>
      </c>
      <c r="B15" s="752">
        <f t="shared" si="1"/>
        <v>4</v>
      </c>
      <c r="C15" s="192" t="s">
        <v>1021</v>
      </c>
      <c r="D15" s="29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93"/>
    </row>
    <row r="16" spans="1:14" ht="18.75" customHeight="1">
      <c r="A16" s="293" t="str">
        <f t="shared" si="0"/>
        <v>VL</v>
      </c>
      <c r="B16" s="752">
        <f t="shared" si="1"/>
        <v>5</v>
      </c>
      <c r="C16" s="296" t="s">
        <v>1026</v>
      </c>
      <c r="D16" s="29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93"/>
    </row>
    <row r="17" spans="1:13" ht="18.75" customHeight="1">
      <c r="A17" s="293" t="str">
        <f t="shared" si="0"/>
        <v>VL</v>
      </c>
      <c r="B17" s="752">
        <f t="shared" si="1"/>
        <v>6</v>
      </c>
      <c r="C17" s="189" t="s">
        <v>1027</v>
      </c>
      <c r="D17" s="29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93"/>
    </row>
    <row r="18" spans="1:13" ht="18.75" customHeight="1">
      <c r="A18" s="293" t="str">
        <f t="shared" si="0"/>
        <v>VL</v>
      </c>
      <c r="B18" s="752">
        <f t="shared" si="1"/>
        <v>7</v>
      </c>
      <c r="C18" s="40" t="s">
        <v>1132</v>
      </c>
      <c r="D18" s="295" t="s">
        <v>1380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93"/>
    </row>
    <row r="19" spans="1:13" ht="18.75" customHeight="1">
      <c r="A19" s="293" t="str">
        <f t="shared" si="0"/>
        <v>VL</v>
      </c>
      <c r="B19" s="752">
        <f t="shared" si="1"/>
        <v>8</v>
      </c>
      <c r="C19" s="189" t="s">
        <v>1327</v>
      </c>
      <c r="D19" s="29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93"/>
    </row>
    <row r="20" spans="1:13" ht="18.75" customHeight="1">
      <c r="A20" s="293" t="str">
        <f t="shared" si="0"/>
        <v/>
      </c>
      <c r="B20" s="294" t="str">
        <f t="shared" si="1"/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5">IF(B23&lt;&gt;"","NL","")</f>
        <v>NL</v>
      </c>
      <c r="B23" s="458">
        <f t="shared" ref="B23:B54" si="6">IF(C23&lt;&gt;"",B22+1,"")</f>
        <v>1</v>
      </c>
      <c r="C23" s="192" t="s">
        <v>1113</v>
      </c>
      <c r="D23" s="29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93"/>
    </row>
    <row r="24" spans="1:13" ht="18.75" customHeight="1">
      <c r="A24" s="293" t="str">
        <f t="shared" si="5"/>
        <v>NL</v>
      </c>
      <c r="B24" s="458">
        <f t="shared" si="6"/>
        <v>2</v>
      </c>
      <c r="C24" s="192" t="s">
        <v>1016</v>
      </c>
      <c r="D24" s="29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93"/>
    </row>
    <row r="25" spans="1:13" ht="18.75" customHeight="1">
      <c r="A25" s="293" t="str">
        <f t="shared" si="5"/>
        <v>NL</v>
      </c>
      <c r="B25" s="458">
        <f t="shared" si="6"/>
        <v>3</v>
      </c>
      <c r="C25" s="192" t="s">
        <v>1109</v>
      </c>
      <c r="D25" s="29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93"/>
    </row>
    <row r="26" spans="1:13" ht="18.75" customHeight="1">
      <c r="A26" s="293" t="str">
        <f t="shared" si="5"/>
        <v>NL</v>
      </c>
      <c r="B26" s="458">
        <f t="shared" si="6"/>
        <v>4</v>
      </c>
      <c r="C26" s="296" t="s">
        <v>1080</v>
      </c>
      <c r="D26" s="29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93"/>
    </row>
    <row r="27" spans="1:13" ht="18.75" customHeight="1">
      <c r="A27" s="293" t="str">
        <f t="shared" si="5"/>
        <v>NL</v>
      </c>
      <c r="B27" s="458">
        <f t="shared" si="6"/>
        <v>5</v>
      </c>
      <c r="C27" s="40" t="s">
        <v>1085</v>
      </c>
      <c r="D27" s="29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93"/>
    </row>
    <row r="28" spans="1:13" ht="18.75" customHeight="1">
      <c r="A28" s="293" t="str">
        <f t="shared" si="5"/>
        <v>NL</v>
      </c>
      <c r="B28" s="458">
        <f t="shared" si="6"/>
        <v>6</v>
      </c>
      <c r="C28" s="296" t="s">
        <v>1084</v>
      </c>
      <c r="D28" s="29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93"/>
    </row>
    <row r="29" spans="1:13" ht="18.75" customHeight="1">
      <c r="A29" s="293" t="str">
        <f t="shared" si="5"/>
        <v>NL</v>
      </c>
      <c r="B29" s="458">
        <f t="shared" si="6"/>
        <v>7</v>
      </c>
      <c r="C29" s="296" t="s">
        <v>1328</v>
      </c>
      <c r="D29" s="295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93"/>
    </row>
    <row r="30" spans="1:13" ht="18.75" customHeight="1">
      <c r="A30" s="293" t="str">
        <f t="shared" si="5"/>
        <v>NL</v>
      </c>
      <c r="B30" s="458">
        <f t="shared" si="6"/>
        <v>8</v>
      </c>
      <c r="C30" s="296" t="s">
        <v>1329</v>
      </c>
      <c r="D30" s="295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93"/>
    </row>
    <row r="31" spans="1:13" ht="18.75" customHeight="1">
      <c r="A31" s="293" t="str">
        <f t="shared" si="5"/>
        <v>NL</v>
      </c>
      <c r="B31" s="458">
        <f t="shared" si="6"/>
        <v>9</v>
      </c>
      <c r="C31" s="296" t="s">
        <v>1330</v>
      </c>
      <c r="D31" s="295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93"/>
    </row>
    <row r="32" spans="1:13" ht="18.75" customHeight="1">
      <c r="A32" s="293" t="str">
        <f t="shared" si="5"/>
        <v>NL</v>
      </c>
      <c r="B32" s="458">
        <f t="shared" si="6"/>
        <v>10</v>
      </c>
      <c r="C32" s="296" t="s">
        <v>1331</v>
      </c>
      <c r="D32" s="295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93"/>
    </row>
    <row r="33" spans="1:13" ht="18.75" customHeight="1">
      <c r="A33" s="293" t="str">
        <f t="shared" si="5"/>
        <v>NL</v>
      </c>
      <c r="B33" s="458">
        <f t="shared" si="6"/>
        <v>11</v>
      </c>
      <c r="C33" s="296" t="s">
        <v>1332</v>
      </c>
      <c r="D33" s="295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93"/>
    </row>
    <row r="34" spans="1:13" ht="18.75" customHeight="1">
      <c r="A34" s="293" t="str">
        <f t="shared" si="5"/>
        <v>NL</v>
      </c>
      <c r="B34" s="458">
        <f t="shared" si="6"/>
        <v>12</v>
      </c>
      <c r="C34" s="296" t="s">
        <v>1333</v>
      </c>
      <c r="D34" s="295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93"/>
    </row>
    <row r="35" spans="1:13" ht="18.75" customHeight="1">
      <c r="A35" s="293" t="str">
        <f t="shared" si="5"/>
        <v>NL</v>
      </c>
      <c r="B35" s="458">
        <f t="shared" si="6"/>
        <v>13</v>
      </c>
      <c r="C35" s="296" t="s">
        <v>1334</v>
      </c>
      <c r="D35" s="295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93"/>
    </row>
    <row r="36" spans="1:13" ht="18.75" customHeight="1">
      <c r="A36" s="293" t="str">
        <f t="shared" si="5"/>
        <v>NL</v>
      </c>
      <c r="B36" s="458">
        <f t="shared" si="6"/>
        <v>14</v>
      </c>
      <c r="C36" s="296" t="s">
        <v>1335</v>
      </c>
      <c r="D36" s="295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93"/>
    </row>
    <row r="37" spans="1:13" ht="18.75" customHeight="1">
      <c r="A37" s="293" t="str">
        <f t="shared" si="5"/>
        <v>NL</v>
      </c>
      <c r="B37" s="458">
        <f t="shared" si="6"/>
        <v>15</v>
      </c>
      <c r="C37" s="296" t="s">
        <v>1336</v>
      </c>
      <c r="D37" s="295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93"/>
    </row>
    <row r="38" spans="1:13" ht="18.75" customHeight="1">
      <c r="A38" s="293" t="str">
        <f t="shared" si="5"/>
        <v>NL</v>
      </c>
      <c r="B38" s="458">
        <f t="shared" si="6"/>
        <v>16</v>
      </c>
      <c r="C38" s="296" t="s">
        <v>1337</v>
      </c>
      <c r="D38" s="295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93"/>
    </row>
    <row r="39" spans="1:13" ht="18.75" customHeight="1">
      <c r="A39" s="293" t="str">
        <f t="shared" si="5"/>
        <v>NL</v>
      </c>
      <c r="B39" s="458">
        <f t="shared" si="6"/>
        <v>17</v>
      </c>
      <c r="C39" s="296" t="s">
        <v>1338</v>
      </c>
      <c r="D39" s="295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93"/>
    </row>
    <row r="40" spans="1:13" ht="18.75" customHeight="1">
      <c r="A40" s="293" t="str">
        <f t="shared" si="5"/>
        <v>NL</v>
      </c>
      <c r="B40" s="458">
        <f t="shared" si="6"/>
        <v>18</v>
      </c>
      <c r="C40" s="296" t="s">
        <v>1339</v>
      </c>
      <c r="D40" s="295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93"/>
    </row>
    <row r="41" spans="1:13" ht="18.75" customHeight="1">
      <c r="A41" s="293" t="str">
        <f t="shared" si="5"/>
        <v>NL</v>
      </c>
      <c r="B41" s="458">
        <f t="shared" si="6"/>
        <v>19</v>
      </c>
      <c r="C41" s="296" t="s">
        <v>1340</v>
      </c>
      <c r="D41" s="295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93"/>
    </row>
    <row r="42" spans="1:13" ht="18.75" customHeight="1">
      <c r="A42" s="293" t="str">
        <f t="shared" si="5"/>
        <v>NL</v>
      </c>
      <c r="B42" s="458">
        <f t="shared" si="6"/>
        <v>20</v>
      </c>
      <c r="C42" s="296" t="s">
        <v>1341</v>
      </c>
      <c r="D42" s="295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93"/>
    </row>
    <row r="43" spans="1:13" ht="18.75" customHeight="1">
      <c r="A43" s="293" t="str">
        <f t="shared" si="5"/>
        <v>NL</v>
      </c>
      <c r="B43" s="458">
        <f t="shared" si="6"/>
        <v>21</v>
      </c>
      <c r="C43" s="296" t="s">
        <v>1342</v>
      </c>
      <c r="D43" s="295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93"/>
    </row>
    <row r="44" spans="1:13" ht="18.75" customHeight="1">
      <c r="A44" s="293" t="str">
        <f t="shared" si="5"/>
        <v>NL</v>
      </c>
      <c r="B44" s="458">
        <f t="shared" si="6"/>
        <v>22</v>
      </c>
      <c r="C44" s="296" t="s">
        <v>1343</v>
      </c>
      <c r="D44" s="295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93"/>
    </row>
    <row r="45" spans="1:13" ht="18.75" customHeight="1">
      <c r="A45" s="293" t="str">
        <f t="shared" si="5"/>
        <v>NL</v>
      </c>
      <c r="B45" s="458">
        <f t="shared" si="6"/>
        <v>23</v>
      </c>
      <c r="C45" s="296" t="s">
        <v>1344</v>
      </c>
      <c r="D45" s="295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93"/>
    </row>
    <row r="46" spans="1:13" ht="18.75" customHeight="1">
      <c r="A46" s="293" t="str">
        <f t="shared" si="5"/>
        <v>NL</v>
      </c>
      <c r="B46" s="458">
        <f t="shared" si="6"/>
        <v>24</v>
      </c>
      <c r="C46" s="296" t="s">
        <v>1345</v>
      </c>
      <c r="D46" s="295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93"/>
    </row>
    <row r="47" spans="1:13" ht="18.75" customHeight="1">
      <c r="A47" s="293" t="str">
        <f t="shared" si="5"/>
        <v>NL</v>
      </c>
      <c r="B47" s="458">
        <f t="shared" si="6"/>
        <v>25</v>
      </c>
      <c r="C47" s="296" t="s">
        <v>1346</v>
      </c>
      <c r="D47" s="295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93"/>
    </row>
    <row r="48" spans="1:13" ht="18.75" customHeight="1">
      <c r="A48" s="293" t="str">
        <f t="shared" si="5"/>
        <v>NL</v>
      </c>
      <c r="B48" s="458">
        <f t="shared" si="6"/>
        <v>26</v>
      </c>
      <c r="C48" s="296" t="s">
        <v>1347</v>
      </c>
      <c r="D48" s="295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93"/>
    </row>
    <row r="49" spans="1:13" ht="18.75" customHeight="1">
      <c r="A49" s="293" t="str">
        <f t="shared" si="5"/>
        <v>NL</v>
      </c>
      <c r="B49" s="458">
        <f t="shared" si="6"/>
        <v>27</v>
      </c>
      <c r="C49" s="296" t="s">
        <v>1348</v>
      </c>
      <c r="D49" s="295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93"/>
    </row>
    <row r="50" spans="1:13" ht="18.75" customHeight="1">
      <c r="A50" s="293" t="str">
        <f t="shared" si="5"/>
        <v>NL</v>
      </c>
      <c r="B50" s="458">
        <f t="shared" si="6"/>
        <v>28</v>
      </c>
      <c r="C50" s="296" t="s">
        <v>1349</v>
      </c>
      <c r="D50" s="295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93"/>
    </row>
    <row r="51" spans="1:13" ht="18.75" customHeight="1">
      <c r="A51" s="293" t="str">
        <f t="shared" si="5"/>
        <v>NL</v>
      </c>
      <c r="B51" s="458">
        <f t="shared" si="6"/>
        <v>29</v>
      </c>
      <c r="C51" s="296" t="s">
        <v>1350</v>
      </c>
      <c r="D51" s="295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93"/>
    </row>
    <row r="52" spans="1:13" ht="18.75" customHeight="1">
      <c r="A52" s="293" t="str">
        <f t="shared" si="5"/>
        <v>NL</v>
      </c>
      <c r="B52" s="458">
        <f t="shared" si="6"/>
        <v>30</v>
      </c>
      <c r="C52" s="296" t="s">
        <v>1351</v>
      </c>
      <c r="D52" s="295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93"/>
    </row>
    <row r="53" spans="1:13" ht="18.75" customHeight="1">
      <c r="A53" s="293" t="str">
        <f t="shared" si="5"/>
        <v>NL</v>
      </c>
      <c r="B53" s="458">
        <f t="shared" si="6"/>
        <v>31</v>
      </c>
      <c r="C53" s="296" t="s">
        <v>1352</v>
      </c>
      <c r="D53" s="295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93"/>
    </row>
    <row r="54" spans="1:13" ht="18.75" customHeight="1">
      <c r="A54" s="293" t="str">
        <f t="shared" si="5"/>
        <v>NL</v>
      </c>
      <c r="B54" s="458">
        <f t="shared" si="6"/>
        <v>32</v>
      </c>
      <c r="C54" s="296" t="s">
        <v>1353</v>
      </c>
      <c r="D54" s="295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93"/>
    </row>
    <row r="55" spans="1:13" ht="18.75" customHeight="1">
      <c r="A55" s="293" t="str">
        <f t="shared" ref="A55:A86" si="9">IF(B55&lt;&gt;"","NL","")</f>
        <v>NL</v>
      </c>
      <c r="B55" s="458">
        <f t="shared" ref="B55:B86" si="10">IF(C55&lt;&gt;"",B54+1,"")</f>
        <v>33</v>
      </c>
      <c r="C55" s="296" t="s">
        <v>1354</v>
      </c>
      <c r="D55" s="295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93"/>
    </row>
    <row r="56" spans="1:13" ht="18.75" customHeight="1">
      <c r="A56" s="293" t="str">
        <f t="shared" si="9"/>
        <v>NL</v>
      </c>
      <c r="B56" s="458">
        <f t="shared" si="10"/>
        <v>34</v>
      </c>
      <c r="C56" s="296" t="s">
        <v>1355</v>
      </c>
      <c r="D56" s="295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93"/>
    </row>
    <row r="57" spans="1:13" ht="18.75" customHeight="1">
      <c r="A57" s="293" t="str">
        <f t="shared" si="9"/>
        <v>NL</v>
      </c>
      <c r="B57" s="458">
        <f t="shared" si="10"/>
        <v>35</v>
      </c>
      <c r="C57" s="296" t="s">
        <v>1356</v>
      </c>
      <c r="D57" s="295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93"/>
    </row>
    <row r="58" spans="1:13" ht="18.75" customHeight="1">
      <c r="A58" s="293" t="str">
        <f t="shared" si="9"/>
        <v>NL</v>
      </c>
      <c r="B58" s="458">
        <f t="shared" si="10"/>
        <v>36</v>
      </c>
      <c r="C58" s="296" t="s">
        <v>1357</v>
      </c>
      <c r="D58" s="295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93"/>
    </row>
    <row r="59" spans="1:13" ht="18.75" customHeight="1">
      <c r="A59" s="293" t="str">
        <f t="shared" si="9"/>
        <v>NL</v>
      </c>
      <c r="B59" s="458">
        <f t="shared" si="10"/>
        <v>37</v>
      </c>
      <c r="C59" s="296" t="s">
        <v>1358</v>
      </c>
      <c r="D59" s="295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93"/>
    </row>
    <row r="60" spans="1:13" ht="18.75" customHeight="1">
      <c r="A60" s="293" t="str">
        <f t="shared" si="9"/>
        <v>NL</v>
      </c>
      <c r="B60" s="458">
        <f t="shared" si="10"/>
        <v>38</v>
      </c>
      <c r="C60" s="296" t="s">
        <v>1359</v>
      </c>
      <c r="D60" s="295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93"/>
    </row>
    <row r="61" spans="1:13" ht="18.75" customHeight="1">
      <c r="A61" s="293" t="str">
        <f t="shared" si="9"/>
        <v>NL</v>
      </c>
      <c r="B61" s="458">
        <f t="shared" si="10"/>
        <v>39</v>
      </c>
      <c r="C61" s="296" t="s">
        <v>1360</v>
      </c>
      <c r="D61" s="295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93"/>
    </row>
    <row r="62" spans="1:13" ht="18.75" customHeight="1">
      <c r="A62" s="293" t="str">
        <f t="shared" si="9"/>
        <v>NL</v>
      </c>
      <c r="B62" s="458">
        <f t="shared" si="10"/>
        <v>40</v>
      </c>
      <c r="C62" s="296" t="s">
        <v>1361</v>
      </c>
      <c r="D62" s="295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93"/>
    </row>
    <row r="63" spans="1:13" ht="18.75" customHeight="1">
      <c r="A63" s="293" t="str">
        <f t="shared" si="9"/>
        <v>NL</v>
      </c>
      <c r="B63" s="458">
        <f t="shared" si="10"/>
        <v>41</v>
      </c>
      <c r="C63" s="296" t="s">
        <v>1362</v>
      </c>
      <c r="D63" s="295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93"/>
    </row>
    <row r="64" spans="1:13" ht="18.75" customHeight="1">
      <c r="A64" s="293" t="str">
        <f t="shared" si="9"/>
        <v>NL</v>
      </c>
      <c r="B64" s="458">
        <f t="shared" si="10"/>
        <v>42</v>
      </c>
      <c r="C64" s="296" t="s">
        <v>1363</v>
      </c>
      <c r="D64" s="295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93"/>
    </row>
    <row r="65" spans="1:13" ht="18.75" customHeight="1">
      <c r="A65" s="293" t="str">
        <f t="shared" si="9"/>
        <v>NL</v>
      </c>
      <c r="B65" s="458">
        <f t="shared" si="10"/>
        <v>43</v>
      </c>
      <c r="C65" s="296" t="s">
        <v>1364</v>
      </c>
      <c r="D65" s="295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93"/>
    </row>
    <row r="66" spans="1:13" ht="18.75" customHeight="1">
      <c r="A66" s="293" t="str">
        <f t="shared" si="9"/>
        <v>NL</v>
      </c>
      <c r="B66" s="458">
        <f t="shared" si="10"/>
        <v>44</v>
      </c>
      <c r="C66" s="296" t="s">
        <v>1365</v>
      </c>
      <c r="D66" s="295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93"/>
    </row>
    <row r="67" spans="1:13" ht="18.75" customHeight="1">
      <c r="A67" s="293" t="str">
        <f t="shared" si="9"/>
        <v>NL</v>
      </c>
      <c r="B67" s="458">
        <f t="shared" si="10"/>
        <v>45</v>
      </c>
      <c r="C67" s="189" t="s">
        <v>1150</v>
      </c>
      <c r="D67" s="295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93"/>
    </row>
    <row r="68" spans="1:13" ht="18.75" customHeight="1">
      <c r="A68" s="293" t="str">
        <f t="shared" si="9"/>
        <v>NL</v>
      </c>
      <c r="B68" s="458">
        <f t="shared" si="10"/>
        <v>46</v>
      </c>
      <c r="C68" s="192" t="s">
        <v>1072</v>
      </c>
      <c r="D68" s="295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93"/>
    </row>
    <row r="69" spans="1:13" ht="18.75" customHeight="1">
      <c r="A69" s="293" t="str">
        <f t="shared" si="9"/>
        <v>NL</v>
      </c>
      <c r="B69" s="458">
        <f t="shared" si="10"/>
        <v>47</v>
      </c>
      <c r="C69" s="40" t="s">
        <v>1177</v>
      </c>
      <c r="D69" s="295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93"/>
    </row>
    <row r="70" spans="1:13" ht="18.75" customHeight="1">
      <c r="A70" s="293" t="str">
        <f t="shared" si="9"/>
        <v>NL</v>
      </c>
      <c r="B70" s="458">
        <f t="shared" si="10"/>
        <v>48</v>
      </c>
      <c r="C70" s="40" t="s">
        <v>1174</v>
      </c>
      <c r="D70" s="295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93"/>
    </row>
    <row r="71" spans="1:13" ht="18.75" customHeight="1">
      <c r="A71" s="293" t="str">
        <f t="shared" si="9"/>
        <v>NL</v>
      </c>
      <c r="B71" s="458">
        <f t="shared" si="10"/>
        <v>49</v>
      </c>
      <c r="C71" s="40" t="s">
        <v>1173</v>
      </c>
      <c r="D71" s="295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93"/>
    </row>
    <row r="72" spans="1:13" ht="18.75" customHeight="1">
      <c r="A72" s="293" t="str">
        <f t="shared" si="9"/>
        <v>NL</v>
      </c>
      <c r="B72" s="458">
        <f t="shared" si="10"/>
        <v>50</v>
      </c>
      <c r="C72" s="40" t="s">
        <v>1187</v>
      </c>
      <c r="D72" s="295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93"/>
    </row>
    <row r="73" spans="1:13" ht="18.75" customHeight="1">
      <c r="A73" s="293" t="str">
        <f t="shared" si="9"/>
        <v>NL</v>
      </c>
      <c r="B73" s="458">
        <f t="shared" si="10"/>
        <v>51</v>
      </c>
      <c r="C73" s="192" t="s">
        <v>1073</v>
      </c>
      <c r="D73" s="295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93"/>
    </row>
    <row r="74" spans="1:13" ht="18.75" customHeight="1">
      <c r="A74" s="293" t="str">
        <f t="shared" si="9"/>
        <v>NL</v>
      </c>
      <c r="B74" s="458">
        <f t="shared" si="10"/>
        <v>52</v>
      </c>
      <c r="C74" s="40" t="s">
        <v>1188</v>
      </c>
      <c r="D74" s="295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93"/>
    </row>
    <row r="75" spans="1:13" ht="18.75" customHeight="1">
      <c r="A75" s="293" t="str">
        <f t="shared" si="9"/>
        <v>NL</v>
      </c>
      <c r="B75" s="458">
        <f t="shared" si="10"/>
        <v>53</v>
      </c>
      <c r="C75" s="40" t="s">
        <v>1185</v>
      </c>
      <c r="D75" s="295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93"/>
    </row>
    <row r="76" spans="1:13" ht="18.75" customHeight="1">
      <c r="A76" s="293" t="str">
        <f t="shared" si="9"/>
        <v>NL</v>
      </c>
      <c r="B76" s="458">
        <f t="shared" si="10"/>
        <v>54</v>
      </c>
      <c r="C76" s="192" t="s">
        <v>1074</v>
      </c>
      <c r="D76" s="295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93"/>
    </row>
    <row r="77" spans="1:13" ht="18.75" customHeight="1">
      <c r="A77" s="293" t="str">
        <f t="shared" si="9"/>
        <v>NL</v>
      </c>
      <c r="B77" s="458">
        <f t="shared" si="10"/>
        <v>55</v>
      </c>
      <c r="C77" s="192" t="s">
        <v>1075</v>
      </c>
      <c r="D77" s="295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93"/>
    </row>
    <row r="78" spans="1:13" ht="18.75" customHeight="1">
      <c r="A78" s="293" t="str">
        <f t="shared" si="9"/>
        <v>NL</v>
      </c>
      <c r="B78" s="458">
        <f t="shared" si="10"/>
        <v>56</v>
      </c>
      <c r="C78" s="192" t="s">
        <v>1160</v>
      </c>
      <c r="D78" s="295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93"/>
    </row>
    <row r="79" spans="1:13" ht="18.75" customHeight="1">
      <c r="A79" s="293" t="str">
        <f t="shared" si="9"/>
        <v>NL</v>
      </c>
      <c r="B79" s="458">
        <f t="shared" si="10"/>
        <v>57</v>
      </c>
      <c r="C79" s="40" t="s">
        <v>1171</v>
      </c>
      <c r="D79" s="295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93"/>
    </row>
    <row r="80" spans="1:13" ht="18.75" customHeight="1">
      <c r="A80" s="293" t="str">
        <f t="shared" si="9"/>
        <v>NL</v>
      </c>
      <c r="B80" s="458">
        <f t="shared" si="10"/>
        <v>58</v>
      </c>
      <c r="C80" s="40" t="s">
        <v>1172</v>
      </c>
      <c r="D80" s="295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93"/>
    </row>
    <row r="81" spans="1:13" ht="18.75" customHeight="1">
      <c r="A81" s="293" t="str">
        <f t="shared" si="9"/>
        <v>NL</v>
      </c>
      <c r="B81" s="458">
        <f t="shared" si="10"/>
        <v>59</v>
      </c>
      <c r="C81" s="192" t="s">
        <v>1076</v>
      </c>
      <c r="D81" s="295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93"/>
    </row>
    <row r="82" spans="1:13" ht="18.75" customHeight="1">
      <c r="A82" s="293" t="str">
        <f t="shared" si="9"/>
        <v>NL</v>
      </c>
      <c r="B82" s="458">
        <f t="shared" si="10"/>
        <v>60</v>
      </c>
      <c r="C82" s="192" t="s">
        <v>1161</v>
      </c>
      <c r="D82" s="295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93"/>
    </row>
    <row r="83" spans="1:13" ht="18.75" customHeight="1">
      <c r="A83" s="293" t="str">
        <f t="shared" si="9"/>
        <v>NL</v>
      </c>
      <c r="B83" s="458">
        <f t="shared" si="10"/>
        <v>61</v>
      </c>
      <c r="C83" s="40" t="s">
        <v>1176</v>
      </c>
      <c r="D83" s="295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93"/>
    </row>
    <row r="84" spans="1:13" ht="18.75" customHeight="1">
      <c r="A84" s="293" t="str">
        <f t="shared" si="9"/>
        <v>NL</v>
      </c>
      <c r="B84" s="458">
        <f t="shared" si="10"/>
        <v>62</v>
      </c>
      <c r="C84" s="192" t="s">
        <v>1164</v>
      </c>
      <c r="D84" s="295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93"/>
    </row>
    <row r="85" spans="1:13" ht="18.75" customHeight="1">
      <c r="A85" s="293" t="str">
        <f t="shared" si="9"/>
        <v>NL</v>
      </c>
      <c r="B85" s="458">
        <f t="shared" si="10"/>
        <v>63</v>
      </c>
      <c r="C85" s="40" t="s">
        <v>1181</v>
      </c>
      <c r="D85" s="295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93"/>
    </row>
    <row r="86" spans="1:13" ht="18.75" customHeight="1">
      <c r="A86" s="293" t="str">
        <f t="shared" si="9"/>
        <v>NL</v>
      </c>
      <c r="B86" s="458">
        <f t="shared" si="10"/>
        <v>64</v>
      </c>
      <c r="C86" s="40" t="s">
        <v>1182</v>
      </c>
      <c r="D86" s="295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93"/>
    </row>
    <row r="87" spans="1:13" ht="18.75" customHeight="1">
      <c r="A87" s="293" t="str">
        <f t="shared" ref="A87:A92" si="13">IF(B87&lt;&gt;"","NL","")</f>
        <v>NL</v>
      </c>
      <c r="B87" s="458">
        <f t="shared" ref="B87:B118" si="14">IF(C87&lt;&gt;"",B86+1,"")</f>
        <v>65</v>
      </c>
      <c r="C87" s="40" t="s">
        <v>1183</v>
      </c>
      <c r="D87" s="295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93"/>
    </row>
    <row r="88" spans="1:13" ht="18.75" customHeight="1">
      <c r="A88" s="293" t="str">
        <f t="shared" si="13"/>
        <v>NL</v>
      </c>
      <c r="B88" s="458">
        <f t="shared" si="14"/>
        <v>66</v>
      </c>
      <c r="C88" s="40" t="s">
        <v>1184</v>
      </c>
      <c r="D88" s="295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93"/>
    </row>
    <row r="89" spans="1:13" ht="18.75" customHeight="1">
      <c r="A89" s="293" t="str">
        <f t="shared" si="13"/>
        <v>NL</v>
      </c>
      <c r="B89" s="458">
        <f t="shared" si="14"/>
        <v>67</v>
      </c>
      <c r="C89" s="40" t="s">
        <v>1178</v>
      </c>
      <c r="D89" s="295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93"/>
    </row>
    <row r="90" spans="1:13" ht="18.75" customHeight="1">
      <c r="A90" s="293" t="str">
        <f t="shared" si="13"/>
        <v>NL</v>
      </c>
      <c r="B90" s="458">
        <f t="shared" si="14"/>
        <v>68</v>
      </c>
      <c r="C90" s="40" t="s">
        <v>1180</v>
      </c>
      <c r="D90" s="295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93"/>
    </row>
    <row r="91" spans="1:13" ht="18.75" customHeight="1">
      <c r="A91" s="293" t="str">
        <f t="shared" si="13"/>
        <v>NL</v>
      </c>
      <c r="B91" s="458">
        <f t="shared" si="14"/>
        <v>69</v>
      </c>
      <c r="C91" s="192" t="s">
        <v>1166</v>
      </c>
      <c r="D91" s="295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93"/>
    </row>
    <row r="92" spans="1:13" ht="18.75" customHeight="1">
      <c r="A92" s="293" t="str">
        <f t="shared" si="13"/>
        <v>NL</v>
      </c>
      <c r="B92" s="458">
        <f t="shared" si="14"/>
        <v>70</v>
      </c>
      <c r="C92" s="192" t="s">
        <v>1165</v>
      </c>
      <c r="D92" s="295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93"/>
    </row>
    <row r="93" spans="1:13" ht="18.75" customHeight="1">
      <c r="A93" s="293" t="str">
        <f t="shared" ref="A93:A117" si="17">IF(B93&lt;&gt;"","NL","")</f>
        <v>NL</v>
      </c>
      <c r="B93" s="458">
        <f t="shared" si="14"/>
        <v>71</v>
      </c>
      <c r="C93" s="192" t="s">
        <v>1167</v>
      </c>
      <c r="D93" s="295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93"/>
    </row>
    <row r="94" spans="1:13" ht="18.75" customHeight="1">
      <c r="A94" s="293" t="str">
        <f t="shared" si="17"/>
        <v>NL</v>
      </c>
      <c r="B94" s="458">
        <f t="shared" si="14"/>
        <v>72</v>
      </c>
      <c r="C94" s="40" t="s">
        <v>1175</v>
      </c>
      <c r="D94" s="295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17"/>
        <v>NL</v>
      </c>
      <c r="B95" s="458">
        <f t="shared" si="14"/>
        <v>73</v>
      </c>
      <c r="C95" s="40" t="s">
        <v>1186</v>
      </c>
      <c r="D95" s="295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17"/>
        <v>NL</v>
      </c>
      <c r="B96" s="458">
        <f t="shared" si="14"/>
        <v>74</v>
      </c>
      <c r="C96" s="40" t="s">
        <v>1179</v>
      </c>
      <c r="D96" s="295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si="17"/>
        <v>NL</v>
      </c>
      <c r="B97" s="458">
        <f t="shared" si="14"/>
        <v>75</v>
      </c>
      <c r="C97" s="189" t="s">
        <v>1157</v>
      </c>
      <c r="D97" s="295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17"/>
        <v>NL</v>
      </c>
      <c r="B98" s="458">
        <f t="shared" si="14"/>
        <v>76</v>
      </c>
      <c r="C98" s="189" t="s">
        <v>1156</v>
      </c>
      <c r="D98" s="295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17"/>
        <v>NL</v>
      </c>
      <c r="B99" s="458">
        <f t="shared" si="14"/>
        <v>77</v>
      </c>
      <c r="C99" s="782" t="s">
        <v>1147</v>
      </c>
      <c r="D99" s="295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17"/>
        <v>NL</v>
      </c>
      <c r="B100" s="458">
        <f t="shared" si="14"/>
        <v>78</v>
      </c>
      <c r="C100" s="189" t="s">
        <v>1158</v>
      </c>
      <c r="D100" s="295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17"/>
        <v>NL</v>
      </c>
      <c r="B101" s="458">
        <f t="shared" si="14"/>
        <v>79</v>
      </c>
      <c r="C101" s="189" t="s">
        <v>1155</v>
      </c>
      <c r="D101" s="295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17"/>
        <v>NL</v>
      </c>
      <c r="B102" s="458">
        <f t="shared" si="14"/>
        <v>80</v>
      </c>
      <c r="C102" s="189" t="s">
        <v>1154</v>
      </c>
      <c r="D102" s="295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93"/>
    </row>
    <row r="103" spans="1:13" ht="18.75" customHeight="1">
      <c r="A103" s="293" t="str">
        <f t="shared" si="17"/>
        <v>NL</v>
      </c>
      <c r="B103" s="458">
        <f t="shared" si="14"/>
        <v>81</v>
      </c>
      <c r="C103" s="189" t="s">
        <v>1103</v>
      </c>
      <c r="D103" s="295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93"/>
    </row>
    <row r="104" spans="1:13" ht="18.75" customHeight="1">
      <c r="A104" s="293" t="str">
        <f t="shared" si="17"/>
        <v>NL</v>
      </c>
      <c r="B104" s="458">
        <f t="shared" si="14"/>
        <v>82</v>
      </c>
      <c r="C104" s="189" t="s">
        <v>1153</v>
      </c>
      <c r="D104" s="295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93"/>
    </row>
    <row r="105" spans="1:13" ht="18.75" customHeight="1">
      <c r="A105" s="293" t="str">
        <f t="shared" si="17"/>
        <v>NL</v>
      </c>
      <c r="B105" s="458">
        <f t="shared" si="14"/>
        <v>83</v>
      </c>
      <c r="C105" s="189" t="s">
        <v>1105</v>
      </c>
      <c r="D105" s="295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93"/>
    </row>
    <row r="106" spans="1:13" ht="18.75" customHeight="1">
      <c r="A106" s="293" t="str">
        <f t="shared" si="17"/>
        <v>NL</v>
      </c>
      <c r="B106" s="458">
        <f t="shared" si="14"/>
        <v>84</v>
      </c>
      <c r="C106" s="189" t="s">
        <v>1102</v>
      </c>
      <c r="D106" s="295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93"/>
    </row>
    <row r="107" spans="1:13" ht="18.75" customHeight="1">
      <c r="A107" s="293" t="str">
        <f t="shared" si="17"/>
        <v>NL</v>
      </c>
      <c r="B107" s="458">
        <f t="shared" si="14"/>
        <v>85</v>
      </c>
      <c r="C107" s="189" t="s">
        <v>1101</v>
      </c>
      <c r="D107" s="295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93"/>
    </row>
    <row r="108" spans="1:13" ht="18.75" customHeight="1">
      <c r="A108" s="293" t="str">
        <f t="shared" si="17"/>
        <v>NL</v>
      </c>
      <c r="B108" s="458">
        <f t="shared" si="14"/>
        <v>86</v>
      </c>
      <c r="C108" s="40" t="s">
        <v>1200</v>
      </c>
      <c r="D108" s="295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93"/>
    </row>
    <row r="109" spans="1:13" ht="18.75" customHeight="1">
      <c r="A109" s="293" t="str">
        <f t="shared" si="17"/>
        <v>NL</v>
      </c>
      <c r="B109" s="458">
        <f t="shared" si="14"/>
        <v>87</v>
      </c>
      <c r="C109" s="189" t="s">
        <v>1104</v>
      </c>
      <c r="D109" s="295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93"/>
    </row>
    <row r="110" spans="1:13" ht="18.75" customHeight="1">
      <c r="A110" s="293" t="str">
        <f t="shared" si="17"/>
        <v>NL</v>
      </c>
      <c r="B110" s="458">
        <f t="shared" si="14"/>
        <v>88</v>
      </c>
      <c r="C110" s="40" t="s">
        <v>1199</v>
      </c>
      <c r="D110" s="295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93"/>
    </row>
    <row r="111" spans="1:13" ht="18.75" customHeight="1">
      <c r="A111" s="293" t="str">
        <f t="shared" si="17"/>
        <v>NL</v>
      </c>
      <c r="B111" s="458">
        <f t="shared" si="14"/>
        <v>89</v>
      </c>
      <c r="C111" s="189" t="s">
        <v>1098</v>
      </c>
      <c r="D111" s="295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93"/>
    </row>
    <row r="112" spans="1:13" ht="18.75" customHeight="1">
      <c r="A112" s="293" t="str">
        <f t="shared" si="17"/>
        <v>NL</v>
      </c>
      <c r="B112" s="458">
        <f t="shared" si="14"/>
        <v>90</v>
      </c>
      <c r="C112" s="189" t="s">
        <v>1099</v>
      </c>
      <c r="D112" s="295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93"/>
    </row>
    <row r="113" spans="1:16" ht="18.75" customHeight="1">
      <c r="A113" s="293" t="str">
        <f t="shared" si="17"/>
        <v>NL</v>
      </c>
      <c r="B113" s="458">
        <f t="shared" si="14"/>
        <v>91</v>
      </c>
      <c r="C113" s="189" t="s">
        <v>1100</v>
      </c>
      <c r="D113" s="295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93"/>
    </row>
    <row r="114" spans="1:16" ht="18.75" customHeight="1">
      <c r="A114" s="293" t="str">
        <f t="shared" si="17"/>
        <v>NL</v>
      </c>
      <c r="B114" s="458">
        <f t="shared" si="14"/>
        <v>92</v>
      </c>
      <c r="C114" s="192" t="s">
        <v>1001</v>
      </c>
      <c r="D114" s="295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93"/>
      <c r="P114" s="941"/>
    </row>
    <row r="115" spans="1:16" ht="18.75" customHeight="1">
      <c r="A115" s="293" t="str">
        <f t="shared" si="17"/>
        <v>NL</v>
      </c>
      <c r="B115" s="458">
        <f t="shared" si="14"/>
        <v>93</v>
      </c>
      <c r="C115" s="192" t="s">
        <v>999</v>
      </c>
      <c r="D115" s="295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93"/>
      <c r="P115" s="941"/>
    </row>
    <row r="116" spans="1:16" ht="18.75" customHeight="1">
      <c r="A116" s="293" t="str">
        <f t="shared" si="17"/>
        <v>NL</v>
      </c>
      <c r="B116" s="458">
        <f t="shared" si="14"/>
        <v>94</v>
      </c>
      <c r="C116" s="192" t="s">
        <v>1008</v>
      </c>
      <c r="D116" s="295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93"/>
      <c r="P116" s="941"/>
    </row>
    <row r="117" spans="1:16" ht="18.75" customHeight="1">
      <c r="A117" s="293" t="str">
        <f t="shared" si="17"/>
        <v>NL</v>
      </c>
      <c r="B117" s="458">
        <f t="shared" si="14"/>
        <v>95</v>
      </c>
      <c r="C117" s="189" t="s">
        <v>1146</v>
      </c>
      <c r="D117" s="295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93"/>
    </row>
    <row r="118" spans="1:16" ht="18.75" customHeight="1">
      <c r="A118" s="293" t="str">
        <f t="shared" ref="A118" si="20">IF(B118&lt;&gt;"","NL","")</f>
        <v/>
      </c>
      <c r="B118" s="458" t="str">
        <f t="shared" si="14"/>
        <v/>
      </c>
      <c r="C118" s="296"/>
      <c r="D118" s="295"/>
      <c r="E118" s="8"/>
      <c r="F118" s="8"/>
      <c r="G118" s="25"/>
      <c r="H118" s="25"/>
      <c r="I118" s="25"/>
      <c r="J118" s="25"/>
      <c r="K118" s="8"/>
      <c r="L118" s="8"/>
      <c r="M118" s="293"/>
    </row>
    <row r="119" spans="1:16" ht="18.75" customHeight="1">
      <c r="A119" s="293" t="str">
        <f t="shared" ref="A119" si="21">IF(B119&lt;&gt;"","NL","")</f>
        <v/>
      </c>
      <c r="B119" s="292"/>
      <c r="C119" s="300" t="s">
        <v>333</v>
      </c>
      <c r="D119" s="29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93"/>
    </row>
    <row r="120" spans="1:16" ht="18.75" customHeight="1">
      <c r="A120" s="293"/>
      <c r="B120" s="459"/>
      <c r="C120" s="460"/>
      <c r="D120" s="459"/>
      <c r="E120" s="461"/>
      <c r="F120" s="461">
        <f>F119-CDPS!C20</f>
        <v>0</v>
      </c>
      <c r="G120" s="461"/>
      <c r="H120" s="461">
        <f>H119-CDPS!E20</f>
        <v>0</v>
      </c>
      <c r="I120" s="461"/>
      <c r="J120" s="461">
        <f>J119-CDPS!F20</f>
        <v>0</v>
      </c>
      <c r="K120" s="461"/>
      <c r="L120" s="461">
        <f>L119-CDPS!G20</f>
        <v>0</v>
      </c>
      <c r="M120" s="293"/>
    </row>
    <row r="121" spans="1:16" ht="18.75" customHeight="1">
      <c r="A121" s="293" t="str">
        <f t="shared" ref="A121:A184" si="23">IF(B121&lt;&gt;"","TP","")</f>
        <v>TP</v>
      </c>
      <c r="B121" s="302">
        <f t="shared" ref="B121:B184" si="24">IF(C121&lt;&gt;"",B120+1,"")</f>
        <v>1</v>
      </c>
      <c r="C121" s="192" t="s">
        <v>765</v>
      </c>
      <c r="D121" s="301"/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93"/>
    </row>
    <row r="122" spans="1:16" ht="18.75" customHeight="1">
      <c r="A122" s="293" t="str">
        <f t="shared" si="23"/>
        <v>TP</v>
      </c>
      <c r="B122" s="302">
        <f t="shared" si="24"/>
        <v>2</v>
      </c>
      <c r="C122" s="192" t="s">
        <v>1162</v>
      </c>
      <c r="D122" s="301"/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93"/>
    </row>
    <row r="123" spans="1:16" ht="18.75" customHeight="1">
      <c r="A123" s="293" t="str">
        <f t="shared" si="23"/>
        <v>TP</v>
      </c>
      <c r="B123" s="302">
        <f t="shared" si="24"/>
        <v>3</v>
      </c>
      <c r="C123" s="189" t="s">
        <v>797</v>
      </c>
      <c r="D123" s="301"/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93"/>
    </row>
    <row r="124" spans="1:16" ht="18.75" customHeight="1">
      <c r="A124" s="293" t="str">
        <f t="shared" si="23"/>
        <v>TP</v>
      </c>
      <c r="B124" s="302">
        <f t="shared" si="24"/>
        <v>4</v>
      </c>
      <c r="C124" s="189" t="s">
        <v>835</v>
      </c>
      <c r="D124" s="301"/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93"/>
    </row>
    <row r="125" spans="1:16" ht="18.75" customHeight="1">
      <c r="A125" s="293" t="str">
        <f t="shared" si="23"/>
        <v>TP</v>
      </c>
      <c r="B125" s="302">
        <f t="shared" si="24"/>
        <v>5</v>
      </c>
      <c r="C125" s="296" t="s">
        <v>648</v>
      </c>
      <c r="D125" s="301"/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93"/>
    </row>
    <row r="126" spans="1:16" ht="18.75" customHeight="1">
      <c r="A126" s="293" t="str">
        <f t="shared" si="23"/>
        <v>TP</v>
      </c>
      <c r="B126" s="302">
        <f t="shared" si="24"/>
        <v>6</v>
      </c>
      <c r="C126" s="296" t="s">
        <v>650</v>
      </c>
      <c r="D126" s="301"/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93"/>
    </row>
    <row r="127" spans="1:16" ht="18.75" customHeight="1">
      <c r="A127" s="293" t="str">
        <f t="shared" si="23"/>
        <v>TP</v>
      </c>
      <c r="B127" s="302">
        <f t="shared" si="24"/>
        <v>7</v>
      </c>
      <c r="C127" s="189" t="s">
        <v>645</v>
      </c>
      <c r="D127" s="301"/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93"/>
    </row>
    <row r="128" spans="1:16" ht="18.75" customHeight="1">
      <c r="A128" s="293" t="str">
        <f t="shared" si="23"/>
        <v>TP</v>
      </c>
      <c r="B128" s="302">
        <f t="shared" si="24"/>
        <v>8</v>
      </c>
      <c r="C128" s="189" t="s">
        <v>831</v>
      </c>
      <c r="D128" s="301"/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93"/>
    </row>
    <row r="129" spans="1:13" ht="18.75" customHeight="1">
      <c r="A129" s="293" t="str">
        <f t="shared" si="23"/>
        <v>TP</v>
      </c>
      <c r="B129" s="302">
        <f t="shared" si="24"/>
        <v>9</v>
      </c>
      <c r="C129" s="189" t="s">
        <v>649</v>
      </c>
      <c r="D129" s="301"/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93"/>
    </row>
    <row r="130" spans="1:13" ht="18.75" customHeight="1">
      <c r="A130" s="293" t="str">
        <f t="shared" si="23"/>
        <v>TP</v>
      </c>
      <c r="B130" s="302">
        <f t="shared" si="24"/>
        <v>10</v>
      </c>
      <c r="C130" s="189" t="s">
        <v>834</v>
      </c>
      <c r="D130" s="301"/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93"/>
    </row>
    <row r="131" spans="1:13" ht="18.75" customHeight="1">
      <c r="A131" s="293" t="str">
        <f t="shared" si="23"/>
        <v>TP</v>
      </c>
      <c r="B131" s="302">
        <f t="shared" si="24"/>
        <v>11</v>
      </c>
      <c r="C131" s="192" t="s">
        <v>729</v>
      </c>
      <c r="D131" s="301"/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93"/>
    </row>
    <row r="132" spans="1:13" ht="18.75" customHeight="1">
      <c r="A132" s="293" t="str">
        <f t="shared" si="23"/>
        <v>TP</v>
      </c>
      <c r="B132" s="302">
        <f t="shared" si="24"/>
        <v>12</v>
      </c>
      <c r="C132" s="192" t="s">
        <v>728</v>
      </c>
      <c r="D132" s="301"/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93"/>
    </row>
    <row r="133" spans="1:13" ht="18.75" customHeight="1">
      <c r="A133" s="293" t="str">
        <f t="shared" si="23"/>
        <v>TP</v>
      </c>
      <c r="B133" s="302">
        <f t="shared" si="24"/>
        <v>13</v>
      </c>
      <c r="C133" s="192" t="s">
        <v>1205</v>
      </c>
      <c r="D133" s="301"/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93"/>
    </row>
    <row r="134" spans="1:13" ht="18.75" customHeight="1">
      <c r="A134" s="293" t="str">
        <f t="shared" si="23"/>
        <v>TP</v>
      </c>
      <c r="B134" s="302">
        <f t="shared" si="24"/>
        <v>14</v>
      </c>
      <c r="C134" s="189" t="s">
        <v>525</v>
      </c>
      <c r="D134" s="301"/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93"/>
    </row>
    <row r="135" spans="1:13" ht="18.75" customHeight="1">
      <c r="A135" s="293" t="str">
        <f t="shared" si="23"/>
        <v>TP</v>
      </c>
      <c r="B135" s="302">
        <f t="shared" si="24"/>
        <v>15</v>
      </c>
      <c r="C135" s="40" t="s">
        <v>1209</v>
      </c>
      <c r="D135" s="301"/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93"/>
    </row>
    <row r="136" spans="1:13" ht="18.75" customHeight="1">
      <c r="A136" s="293" t="str">
        <f t="shared" si="23"/>
        <v>TP</v>
      </c>
      <c r="B136" s="302">
        <f t="shared" si="24"/>
        <v>16</v>
      </c>
      <c r="C136" s="192" t="s">
        <v>624</v>
      </c>
      <c r="D136" s="301"/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93"/>
    </row>
    <row r="137" spans="1:13" ht="18.75" customHeight="1">
      <c r="A137" s="293" t="str">
        <f t="shared" si="23"/>
        <v>TP</v>
      </c>
      <c r="B137" s="302">
        <f t="shared" si="24"/>
        <v>17</v>
      </c>
      <c r="C137" s="189" t="s">
        <v>1208</v>
      </c>
      <c r="D137" s="301"/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93"/>
    </row>
    <row r="138" spans="1:13" ht="18.75" customHeight="1">
      <c r="A138" s="293" t="str">
        <f t="shared" si="23"/>
        <v>TP</v>
      </c>
      <c r="B138" s="302">
        <f t="shared" si="24"/>
        <v>18</v>
      </c>
      <c r="C138" s="189" t="s">
        <v>1206</v>
      </c>
      <c r="D138" s="301"/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93"/>
    </row>
    <row r="139" spans="1:13" ht="18.75" customHeight="1">
      <c r="A139" s="293" t="str">
        <f t="shared" si="23"/>
        <v>TP</v>
      </c>
      <c r="B139" s="302">
        <f t="shared" si="24"/>
        <v>19</v>
      </c>
      <c r="C139" s="40" t="s">
        <v>1210</v>
      </c>
      <c r="D139" s="301"/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93"/>
    </row>
    <row r="140" spans="1:13" ht="18.75" customHeight="1">
      <c r="A140" s="293" t="str">
        <f t="shared" si="23"/>
        <v>TP</v>
      </c>
      <c r="B140" s="302">
        <f t="shared" si="24"/>
        <v>20</v>
      </c>
      <c r="C140" s="40" t="s">
        <v>446</v>
      </c>
      <c r="D140" s="301"/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93"/>
    </row>
    <row r="141" spans="1:13" ht="18.75" customHeight="1">
      <c r="A141" s="293" t="str">
        <f t="shared" si="23"/>
        <v>TP</v>
      </c>
      <c r="B141" s="302">
        <f t="shared" si="24"/>
        <v>21</v>
      </c>
      <c r="C141" s="189" t="s">
        <v>1207</v>
      </c>
      <c r="D141" s="301"/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93"/>
    </row>
    <row r="142" spans="1:13" ht="18.75" customHeight="1">
      <c r="A142" s="293" t="str">
        <f t="shared" si="23"/>
        <v>TP</v>
      </c>
      <c r="B142" s="302">
        <f t="shared" si="24"/>
        <v>22</v>
      </c>
      <c r="C142" s="192" t="s">
        <v>747</v>
      </c>
      <c r="D142" s="301"/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93"/>
    </row>
    <row r="143" spans="1:13" ht="18.75" customHeight="1">
      <c r="A143" s="293" t="str">
        <f t="shared" si="23"/>
        <v>TP</v>
      </c>
      <c r="B143" s="302">
        <f t="shared" si="24"/>
        <v>23</v>
      </c>
      <c r="C143" s="192" t="s">
        <v>1204</v>
      </c>
      <c r="D143" s="301"/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93"/>
    </row>
    <row r="144" spans="1:13" ht="18.75" customHeight="1">
      <c r="A144" s="293" t="str">
        <f t="shared" si="23"/>
        <v>TP</v>
      </c>
      <c r="B144" s="302">
        <f t="shared" si="24"/>
        <v>24</v>
      </c>
      <c r="C144" s="189" t="s">
        <v>814</v>
      </c>
      <c r="D144" s="301"/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93"/>
    </row>
    <row r="145" spans="1:13" ht="18.75" customHeight="1">
      <c r="A145" s="293" t="str">
        <f t="shared" si="23"/>
        <v>TP</v>
      </c>
      <c r="B145" s="302">
        <f t="shared" si="24"/>
        <v>25</v>
      </c>
      <c r="C145" s="192" t="s">
        <v>820</v>
      </c>
      <c r="D145" s="301"/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93"/>
    </row>
    <row r="146" spans="1:13" ht="18.75" customHeight="1">
      <c r="A146" s="293" t="str">
        <f t="shared" si="23"/>
        <v>TP</v>
      </c>
      <c r="B146" s="302">
        <f t="shared" si="24"/>
        <v>26</v>
      </c>
      <c r="C146" s="189" t="s">
        <v>816</v>
      </c>
      <c r="D146" s="301"/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93"/>
    </row>
    <row r="147" spans="1:13" ht="18.75" customHeight="1">
      <c r="A147" s="293" t="str">
        <f t="shared" si="23"/>
        <v>TP</v>
      </c>
      <c r="B147" s="302">
        <f t="shared" si="24"/>
        <v>27</v>
      </c>
      <c r="C147" s="40" t="s">
        <v>773</v>
      </c>
      <c r="D147" s="301"/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93"/>
    </row>
    <row r="148" spans="1:13" ht="18.75" customHeight="1">
      <c r="A148" s="293" t="str">
        <f t="shared" si="23"/>
        <v>TP</v>
      </c>
      <c r="B148" s="302">
        <f t="shared" si="24"/>
        <v>28</v>
      </c>
      <c r="C148" s="192" t="s">
        <v>891</v>
      </c>
      <c r="D148" s="301"/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93"/>
    </row>
    <row r="149" spans="1:13" ht="18.75" customHeight="1">
      <c r="A149" s="293" t="str">
        <f t="shared" si="23"/>
        <v>TP</v>
      </c>
      <c r="B149" s="302">
        <f t="shared" si="24"/>
        <v>29</v>
      </c>
      <c r="C149" s="192" t="s">
        <v>739</v>
      </c>
      <c r="D149" s="301"/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93"/>
    </row>
    <row r="150" spans="1:13" ht="18.75" customHeight="1">
      <c r="A150" s="293" t="str">
        <f t="shared" si="23"/>
        <v>TP</v>
      </c>
      <c r="B150" s="302">
        <f t="shared" si="24"/>
        <v>30</v>
      </c>
      <c r="C150" s="192" t="s">
        <v>889</v>
      </c>
      <c r="D150" s="301"/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93"/>
    </row>
    <row r="151" spans="1:13" ht="18.75" customHeight="1">
      <c r="A151" s="293" t="str">
        <f t="shared" si="23"/>
        <v>TP</v>
      </c>
      <c r="B151" s="302">
        <f t="shared" si="24"/>
        <v>31</v>
      </c>
      <c r="C151" s="192" t="s">
        <v>890</v>
      </c>
      <c r="D151" s="301"/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93"/>
    </row>
    <row r="152" spans="1:13" ht="18.75" customHeight="1">
      <c r="A152" s="293" t="str">
        <f t="shared" si="23"/>
        <v>TP</v>
      </c>
      <c r="B152" s="302">
        <f t="shared" si="24"/>
        <v>32</v>
      </c>
      <c r="C152" s="40" t="s">
        <v>545</v>
      </c>
      <c r="D152" s="301"/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93"/>
    </row>
    <row r="153" spans="1:13" ht="18.75" customHeight="1">
      <c r="A153" s="293" t="str">
        <f t="shared" si="23"/>
        <v>TP</v>
      </c>
      <c r="B153" s="302">
        <f t="shared" si="24"/>
        <v>33</v>
      </c>
      <c r="C153" s="40" t="s">
        <v>548</v>
      </c>
      <c r="D153" s="301"/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93"/>
    </row>
    <row r="154" spans="1:13" ht="18.75" customHeight="1">
      <c r="A154" s="293" t="str">
        <f t="shared" si="23"/>
        <v>TP</v>
      </c>
      <c r="B154" s="302">
        <f t="shared" si="24"/>
        <v>34</v>
      </c>
      <c r="C154" s="192" t="s">
        <v>886</v>
      </c>
      <c r="D154" s="301"/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93"/>
    </row>
    <row r="155" spans="1:13" ht="18.75" customHeight="1">
      <c r="A155" s="293" t="str">
        <f t="shared" si="23"/>
        <v>TP</v>
      </c>
      <c r="B155" s="302">
        <f t="shared" si="24"/>
        <v>35</v>
      </c>
      <c r="C155" s="189" t="s">
        <v>476</v>
      </c>
      <c r="D155" s="301"/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93"/>
    </row>
    <row r="156" spans="1:13" ht="18.75" customHeight="1">
      <c r="A156" s="293" t="str">
        <f t="shared" si="23"/>
        <v>TP</v>
      </c>
      <c r="B156" s="302">
        <f t="shared" si="24"/>
        <v>36</v>
      </c>
      <c r="C156" s="192" t="s">
        <v>640</v>
      </c>
      <c r="D156" s="301"/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93"/>
    </row>
    <row r="157" spans="1:13" ht="18.75" customHeight="1">
      <c r="A157" s="293" t="str">
        <f t="shared" si="23"/>
        <v>TP</v>
      </c>
      <c r="B157" s="302">
        <f t="shared" si="24"/>
        <v>37</v>
      </c>
      <c r="C157" s="189" t="s">
        <v>480</v>
      </c>
      <c r="D157" s="301"/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93"/>
    </row>
    <row r="158" spans="1:13" ht="18.75" customHeight="1">
      <c r="A158" s="293" t="str">
        <f t="shared" si="23"/>
        <v>TP</v>
      </c>
      <c r="B158" s="302">
        <f t="shared" si="24"/>
        <v>38</v>
      </c>
      <c r="C158" s="189" t="s">
        <v>786</v>
      </c>
      <c r="D158" s="301"/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93"/>
    </row>
    <row r="159" spans="1:13" ht="18.75" customHeight="1">
      <c r="A159" s="293" t="str">
        <f t="shared" si="23"/>
        <v>TP</v>
      </c>
      <c r="B159" s="302">
        <f t="shared" si="24"/>
        <v>39</v>
      </c>
      <c r="C159" s="189" t="s">
        <v>781</v>
      </c>
      <c r="D159" s="301"/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93"/>
    </row>
    <row r="160" spans="1:13" ht="18.75" customHeight="1">
      <c r="A160" s="293" t="str">
        <f t="shared" si="23"/>
        <v>TP</v>
      </c>
      <c r="B160" s="302">
        <f t="shared" si="24"/>
        <v>40</v>
      </c>
      <c r="C160" s="40" t="s">
        <v>552</v>
      </c>
      <c r="D160" s="301"/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93"/>
    </row>
    <row r="161" spans="1:13" ht="18.75" customHeight="1">
      <c r="A161" s="293" t="str">
        <f t="shared" si="23"/>
        <v>TP</v>
      </c>
      <c r="B161" s="302">
        <f t="shared" si="24"/>
        <v>41</v>
      </c>
      <c r="C161" s="189" t="s">
        <v>467</v>
      </c>
      <c r="D161" s="301"/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93"/>
    </row>
    <row r="162" spans="1:13" ht="18.75" customHeight="1">
      <c r="A162" s="293" t="str">
        <f t="shared" si="23"/>
        <v>TP</v>
      </c>
      <c r="B162" s="302">
        <f t="shared" si="24"/>
        <v>42</v>
      </c>
      <c r="C162" s="192" t="s">
        <v>667</v>
      </c>
      <c r="D162" s="301"/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93"/>
    </row>
    <row r="163" spans="1:13" ht="18.75" customHeight="1">
      <c r="A163" s="293" t="str">
        <f t="shared" si="23"/>
        <v>TP</v>
      </c>
      <c r="B163" s="302">
        <f t="shared" si="24"/>
        <v>43</v>
      </c>
      <c r="C163" s="192" t="s">
        <v>665</v>
      </c>
      <c r="D163" s="301"/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93"/>
    </row>
    <row r="164" spans="1:13" ht="18.75" customHeight="1">
      <c r="A164" s="293" t="str">
        <f t="shared" si="23"/>
        <v>TP</v>
      </c>
      <c r="B164" s="302">
        <f t="shared" si="24"/>
        <v>44</v>
      </c>
      <c r="C164" s="189" t="s">
        <v>881</v>
      </c>
      <c r="D164" s="301"/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93"/>
    </row>
    <row r="165" spans="1:13" ht="18.75" customHeight="1">
      <c r="A165" s="293" t="str">
        <f t="shared" si="23"/>
        <v>TP</v>
      </c>
      <c r="B165" s="302">
        <f t="shared" si="24"/>
        <v>45</v>
      </c>
      <c r="C165" s="40" t="s">
        <v>471</v>
      </c>
      <c r="D165" s="301"/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93"/>
    </row>
    <row r="166" spans="1:13" ht="18.75" customHeight="1">
      <c r="A166" s="293" t="str">
        <f t="shared" si="23"/>
        <v>TP</v>
      </c>
      <c r="B166" s="302">
        <f t="shared" si="24"/>
        <v>46</v>
      </c>
      <c r="C166" s="189" t="s">
        <v>486</v>
      </c>
      <c r="D166" s="301"/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93"/>
    </row>
    <row r="167" spans="1:13" ht="18.75" customHeight="1">
      <c r="A167" s="293" t="str">
        <f t="shared" si="23"/>
        <v>TP</v>
      </c>
      <c r="B167" s="302">
        <f t="shared" si="24"/>
        <v>47</v>
      </c>
      <c r="C167" s="192" t="s">
        <v>694</v>
      </c>
      <c r="D167" s="301"/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93"/>
    </row>
    <row r="168" spans="1:13" ht="18.75" customHeight="1">
      <c r="A168" s="293" t="str">
        <f t="shared" si="23"/>
        <v>TP</v>
      </c>
      <c r="B168" s="302">
        <f t="shared" si="24"/>
        <v>48</v>
      </c>
      <c r="C168" s="189" t="s">
        <v>513</v>
      </c>
      <c r="D168" s="301"/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93"/>
    </row>
    <row r="169" spans="1:13" ht="18.75" customHeight="1">
      <c r="A169" s="293" t="str">
        <f t="shared" si="23"/>
        <v>TP</v>
      </c>
      <c r="B169" s="302">
        <f t="shared" si="24"/>
        <v>49</v>
      </c>
      <c r="C169" s="192" t="s">
        <v>806</v>
      </c>
      <c r="D169" s="301"/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93"/>
    </row>
    <row r="170" spans="1:13" ht="18.75" customHeight="1">
      <c r="A170" s="293" t="str">
        <f t="shared" si="23"/>
        <v>TP</v>
      </c>
      <c r="B170" s="302">
        <f t="shared" si="24"/>
        <v>50</v>
      </c>
      <c r="C170" s="192" t="s">
        <v>635</v>
      </c>
      <c r="D170" s="301"/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93"/>
    </row>
    <row r="171" spans="1:13" ht="18.75" customHeight="1">
      <c r="A171" s="293" t="str">
        <f t="shared" si="23"/>
        <v>TP</v>
      </c>
      <c r="B171" s="302">
        <f t="shared" si="24"/>
        <v>51</v>
      </c>
      <c r="C171" s="192" t="s">
        <v>631</v>
      </c>
      <c r="D171" s="301"/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93"/>
    </row>
    <row r="172" spans="1:13" ht="18.75" customHeight="1">
      <c r="A172" s="293" t="str">
        <f t="shared" si="23"/>
        <v>TP</v>
      </c>
      <c r="B172" s="302">
        <f t="shared" si="24"/>
        <v>52</v>
      </c>
      <c r="C172" s="40" t="s">
        <v>549</v>
      </c>
      <c r="D172" s="301"/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93"/>
    </row>
    <row r="173" spans="1:13" ht="18.75" customHeight="1">
      <c r="A173" s="293" t="str">
        <f t="shared" si="23"/>
        <v>TP</v>
      </c>
      <c r="B173" s="302">
        <f t="shared" si="24"/>
        <v>53</v>
      </c>
      <c r="C173" s="40" t="s">
        <v>811</v>
      </c>
      <c r="D173" s="301"/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93"/>
    </row>
    <row r="174" spans="1:13" ht="18.75" customHeight="1">
      <c r="A174" s="293" t="str">
        <f t="shared" si="23"/>
        <v>TP</v>
      </c>
      <c r="B174" s="302">
        <f t="shared" si="24"/>
        <v>54</v>
      </c>
      <c r="C174" s="192" t="s">
        <v>613</v>
      </c>
      <c r="D174" s="301"/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93"/>
    </row>
    <row r="175" spans="1:13" ht="18.75" customHeight="1">
      <c r="A175" s="293" t="str">
        <f t="shared" si="23"/>
        <v>TP</v>
      </c>
      <c r="B175" s="302">
        <f t="shared" si="24"/>
        <v>55</v>
      </c>
      <c r="C175" s="189" t="s">
        <v>493</v>
      </c>
      <c r="D175" s="301"/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93"/>
    </row>
    <row r="176" spans="1:13" ht="18.75" customHeight="1">
      <c r="A176" s="293" t="str">
        <f t="shared" si="23"/>
        <v>TP</v>
      </c>
      <c r="B176" s="302">
        <f t="shared" si="24"/>
        <v>56</v>
      </c>
      <c r="C176" s="189" t="s">
        <v>538</v>
      </c>
      <c r="D176" s="301"/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93"/>
    </row>
    <row r="177" spans="1:13" ht="18.75" customHeight="1">
      <c r="A177" s="293" t="str">
        <f t="shared" si="23"/>
        <v>TP</v>
      </c>
      <c r="B177" s="302">
        <f t="shared" si="24"/>
        <v>57</v>
      </c>
      <c r="C177" s="189" t="s">
        <v>481</v>
      </c>
      <c r="D177" s="301"/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93"/>
    </row>
    <row r="178" spans="1:13" ht="18.75" customHeight="1">
      <c r="A178" s="293" t="str">
        <f t="shared" si="23"/>
        <v>TP</v>
      </c>
      <c r="B178" s="302">
        <f t="shared" si="24"/>
        <v>58</v>
      </c>
      <c r="C178" s="192" t="s">
        <v>616</v>
      </c>
      <c r="D178" s="301"/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93"/>
    </row>
    <row r="179" spans="1:13" ht="18.75" customHeight="1">
      <c r="A179" s="293" t="str">
        <f t="shared" si="23"/>
        <v>TP</v>
      </c>
      <c r="B179" s="302">
        <f t="shared" si="24"/>
        <v>59</v>
      </c>
      <c r="C179" s="189" t="s">
        <v>576</v>
      </c>
      <c r="D179" s="301"/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93"/>
    </row>
    <row r="180" spans="1:13" ht="18.75" customHeight="1">
      <c r="A180" s="293" t="str">
        <f t="shared" si="23"/>
        <v>TP</v>
      </c>
      <c r="B180" s="302">
        <f t="shared" si="24"/>
        <v>60</v>
      </c>
      <c r="C180" s="189" t="s">
        <v>578</v>
      </c>
      <c r="D180" s="301"/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93"/>
    </row>
    <row r="181" spans="1:13" ht="18.75" customHeight="1">
      <c r="A181" s="293" t="str">
        <f t="shared" si="23"/>
        <v>TP</v>
      </c>
      <c r="B181" s="302">
        <f t="shared" si="24"/>
        <v>61</v>
      </c>
      <c r="C181" s="189" t="s">
        <v>564</v>
      </c>
      <c r="D181" s="301"/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93"/>
    </row>
    <row r="182" spans="1:13" ht="18.75" customHeight="1">
      <c r="A182" s="293" t="str">
        <f t="shared" si="23"/>
        <v>TP</v>
      </c>
      <c r="B182" s="302">
        <f t="shared" si="24"/>
        <v>62</v>
      </c>
      <c r="C182" s="40" t="s">
        <v>874</v>
      </c>
      <c r="D182" s="301"/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93"/>
    </row>
    <row r="183" spans="1:13" ht="18.75" customHeight="1">
      <c r="A183" s="293" t="str">
        <f t="shared" si="23"/>
        <v>TP</v>
      </c>
      <c r="B183" s="302">
        <f t="shared" si="24"/>
        <v>63</v>
      </c>
      <c r="C183" s="192" t="s">
        <v>768</v>
      </c>
      <c r="D183" s="301"/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93"/>
    </row>
    <row r="184" spans="1:13" ht="18.75" customHeight="1">
      <c r="A184" s="293" t="str">
        <f t="shared" si="23"/>
        <v>TP</v>
      </c>
      <c r="B184" s="302">
        <f t="shared" si="24"/>
        <v>64</v>
      </c>
      <c r="C184" s="40" t="s">
        <v>845</v>
      </c>
      <c r="D184" s="301"/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93"/>
    </row>
    <row r="185" spans="1:13" ht="18.75" customHeight="1">
      <c r="A185" s="293" t="str">
        <f t="shared" ref="A185:A248" si="27">IF(B185&lt;&gt;"","TP","")</f>
        <v>TP</v>
      </c>
      <c r="B185" s="302">
        <f t="shared" ref="B185:B248" si="28">IF(C185&lt;&gt;"",B184+1,"")</f>
        <v>65</v>
      </c>
      <c r="C185" s="189" t="s">
        <v>569</v>
      </c>
      <c r="D185" s="301"/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93"/>
    </row>
    <row r="186" spans="1:13" ht="18.75" customHeight="1">
      <c r="A186" s="293" t="str">
        <f t="shared" si="27"/>
        <v>TP</v>
      </c>
      <c r="B186" s="302">
        <f t="shared" si="28"/>
        <v>66</v>
      </c>
      <c r="C186" s="189" t="s">
        <v>418</v>
      </c>
      <c r="D186" s="301"/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93"/>
    </row>
    <row r="187" spans="1:13" ht="18.75" customHeight="1">
      <c r="A187" s="293" t="str">
        <f t="shared" si="27"/>
        <v>TP</v>
      </c>
      <c r="B187" s="302">
        <f t="shared" si="28"/>
        <v>67</v>
      </c>
      <c r="C187" s="192" t="s">
        <v>725</v>
      </c>
      <c r="D187" s="301"/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93"/>
    </row>
    <row r="188" spans="1:13" ht="18.75" customHeight="1">
      <c r="A188" s="293" t="str">
        <f t="shared" si="27"/>
        <v>TP</v>
      </c>
      <c r="B188" s="302">
        <f t="shared" si="28"/>
        <v>68</v>
      </c>
      <c r="C188" s="192" t="s">
        <v>869</v>
      </c>
      <c r="D188" s="301"/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93"/>
    </row>
    <row r="189" spans="1:13" ht="18.75" customHeight="1">
      <c r="A189" s="293" t="str">
        <f t="shared" si="27"/>
        <v>TP</v>
      </c>
      <c r="B189" s="302">
        <f t="shared" si="28"/>
        <v>69</v>
      </c>
      <c r="C189" s="192" t="s">
        <v>653</v>
      </c>
      <c r="D189" s="301"/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93"/>
    </row>
    <row r="190" spans="1:13" ht="18.75" customHeight="1">
      <c r="A190" s="293" t="str">
        <f t="shared" si="27"/>
        <v>TP</v>
      </c>
      <c r="B190" s="302">
        <f t="shared" si="28"/>
        <v>70</v>
      </c>
      <c r="C190" s="192" t="s">
        <v>704</v>
      </c>
      <c r="D190" s="301"/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93"/>
    </row>
    <row r="191" spans="1:13" ht="18.75" customHeight="1">
      <c r="A191" s="293" t="str">
        <f t="shared" si="27"/>
        <v>TP</v>
      </c>
      <c r="B191" s="302">
        <f t="shared" si="28"/>
        <v>71</v>
      </c>
      <c r="C191" s="192" t="s">
        <v>707</v>
      </c>
      <c r="D191" s="301"/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93"/>
    </row>
    <row r="192" spans="1:13" ht="18.75" customHeight="1">
      <c r="A192" s="293" t="str">
        <f t="shared" si="27"/>
        <v>TP</v>
      </c>
      <c r="B192" s="302">
        <f t="shared" si="28"/>
        <v>72</v>
      </c>
      <c r="C192" s="192" t="s">
        <v>867</v>
      </c>
      <c r="D192" s="301"/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93"/>
    </row>
    <row r="193" spans="1:13" ht="18.75" customHeight="1">
      <c r="A193" s="293" t="str">
        <f t="shared" si="27"/>
        <v>TP</v>
      </c>
      <c r="B193" s="302">
        <f t="shared" si="28"/>
        <v>73</v>
      </c>
      <c r="C193" s="192" t="s">
        <v>742</v>
      </c>
      <c r="D193" s="301"/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93"/>
    </row>
    <row r="194" spans="1:13" ht="18.75" customHeight="1">
      <c r="A194" s="293" t="str">
        <f t="shared" si="27"/>
        <v>TP</v>
      </c>
      <c r="B194" s="302">
        <f t="shared" si="28"/>
        <v>74</v>
      </c>
      <c r="C194" s="192" t="s">
        <v>669</v>
      </c>
      <c r="D194" s="301"/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93"/>
    </row>
    <row r="195" spans="1:13" ht="18.75" customHeight="1">
      <c r="A195" s="293" t="str">
        <f t="shared" si="27"/>
        <v>TP</v>
      </c>
      <c r="B195" s="302">
        <f t="shared" si="28"/>
        <v>75</v>
      </c>
      <c r="C195" s="192" t="s">
        <v>524</v>
      </c>
      <c r="D195" s="301"/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93"/>
    </row>
    <row r="196" spans="1:13" ht="18.75" customHeight="1">
      <c r="A196" s="293" t="str">
        <f t="shared" si="27"/>
        <v>TP</v>
      </c>
      <c r="B196" s="302">
        <f t="shared" si="28"/>
        <v>76</v>
      </c>
      <c r="C196" s="189" t="s">
        <v>563</v>
      </c>
      <c r="D196" s="301"/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93"/>
    </row>
    <row r="197" spans="1:13" ht="18.75" customHeight="1">
      <c r="A197" s="293" t="str">
        <f t="shared" si="27"/>
        <v>TP</v>
      </c>
      <c r="B197" s="302">
        <f t="shared" si="28"/>
        <v>77</v>
      </c>
      <c r="C197" s="189" t="s">
        <v>479</v>
      </c>
      <c r="D197" s="301"/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93"/>
    </row>
    <row r="198" spans="1:13" ht="18.75" customHeight="1">
      <c r="A198" s="293" t="str">
        <f t="shared" si="27"/>
        <v>TP</v>
      </c>
      <c r="B198" s="302">
        <f t="shared" si="28"/>
        <v>78</v>
      </c>
      <c r="C198" s="192" t="s">
        <v>632</v>
      </c>
      <c r="D198" s="301"/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93"/>
    </row>
    <row r="199" spans="1:13" ht="18.75" customHeight="1">
      <c r="A199" s="293" t="str">
        <f t="shared" si="27"/>
        <v>TP</v>
      </c>
      <c r="B199" s="302">
        <f t="shared" si="28"/>
        <v>79</v>
      </c>
      <c r="C199" s="189" t="s">
        <v>492</v>
      </c>
      <c r="D199" s="301"/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93"/>
    </row>
    <row r="200" spans="1:13" ht="18.75" customHeight="1">
      <c r="A200" s="293" t="str">
        <f t="shared" si="27"/>
        <v>TP</v>
      </c>
      <c r="B200" s="302">
        <f t="shared" si="28"/>
        <v>80</v>
      </c>
      <c r="C200" s="189" t="s">
        <v>885</v>
      </c>
      <c r="D200" s="301"/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93"/>
    </row>
    <row r="201" spans="1:13" ht="18.75" customHeight="1">
      <c r="A201" s="293" t="str">
        <f t="shared" si="27"/>
        <v>TP</v>
      </c>
      <c r="B201" s="302">
        <f t="shared" si="28"/>
        <v>81</v>
      </c>
      <c r="C201" s="192" t="s">
        <v>621</v>
      </c>
      <c r="D201" s="301"/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93"/>
    </row>
    <row r="202" spans="1:13" ht="18.75" customHeight="1">
      <c r="A202" s="293" t="str">
        <f t="shared" si="27"/>
        <v>TP</v>
      </c>
      <c r="B202" s="302">
        <f t="shared" si="28"/>
        <v>82</v>
      </c>
      <c r="C202" s="189" t="s">
        <v>541</v>
      </c>
      <c r="D202" s="301"/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93"/>
    </row>
    <row r="203" spans="1:13" ht="18.75" customHeight="1">
      <c r="A203" s="293" t="str">
        <f t="shared" si="27"/>
        <v>TP</v>
      </c>
      <c r="B203" s="302">
        <f t="shared" si="28"/>
        <v>83</v>
      </c>
      <c r="C203" s="189" t="s">
        <v>848</v>
      </c>
      <c r="D203" s="301"/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93"/>
    </row>
    <row r="204" spans="1:13" ht="18.75" customHeight="1">
      <c r="A204" s="293" t="str">
        <f t="shared" si="27"/>
        <v>TP</v>
      </c>
      <c r="B204" s="302">
        <f t="shared" si="28"/>
        <v>84</v>
      </c>
      <c r="C204" s="296" t="s">
        <v>849</v>
      </c>
      <c r="D204" s="301"/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93"/>
    </row>
    <row r="205" spans="1:13" ht="18.75" customHeight="1">
      <c r="A205" s="293" t="str">
        <f t="shared" si="27"/>
        <v>TP</v>
      </c>
      <c r="B205" s="302">
        <f t="shared" si="28"/>
        <v>85</v>
      </c>
      <c r="C205" s="296" t="s">
        <v>509</v>
      </c>
      <c r="D205" s="301"/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93"/>
    </row>
    <row r="206" spans="1:13" ht="18.75" customHeight="1">
      <c r="A206" s="293" t="str">
        <f t="shared" si="27"/>
        <v>TP</v>
      </c>
      <c r="B206" s="302">
        <f t="shared" si="28"/>
        <v>86</v>
      </c>
      <c r="C206" s="40" t="s">
        <v>585</v>
      </c>
      <c r="D206" s="301"/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93"/>
    </row>
    <row r="207" spans="1:13" ht="18.75" customHeight="1">
      <c r="A207" s="293" t="str">
        <f t="shared" si="27"/>
        <v>TP</v>
      </c>
      <c r="B207" s="302">
        <f t="shared" si="28"/>
        <v>87</v>
      </c>
      <c r="C207" s="192" t="s">
        <v>607</v>
      </c>
      <c r="D207" s="301"/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93"/>
    </row>
    <row r="208" spans="1:13" ht="18.75" customHeight="1">
      <c r="A208" s="293" t="str">
        <f t="shared" si="27"/>
        <v>TP</v>
      </c>
      <c r="B208" s="302">
        <f t="shared" si="28"/>
        <v>88</v>
      </c>
      <c r="C208" s="189" t="s">
        <v>872</v>
      </c>
      <c r="D208" s="301"/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93"/>
    </row>
    <row r="209" spans="1:13" ht="18.75" customHeight="1">
      <c r="A209" s="293" t="str">
        <f t="shared" si="27"/>
        <v>TP</v>
      </c>
      <c r="B209" s="302">
        <f t="shared" si="28"/>
        <v>89</v>
      </c>
      <c r="C209" s="192" t="s">
        <v>736</v>
      </c>
      <c r="D209" s="301"/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93"/>
    </row>
    <row r="210" spans="1:13" ht="18.75" customHeight="1">
      <c r="A210" s="293" t="str">
        <f t="shared" si="27"/>
        <v>TP</v>
      </c>
      <c r="B210" s="302">
        <f t="shared" si="28"/>
        <v>90</v>
      </c>
      <c r="C210" s="192" t="s">
        <v>663</v>
      </c>
      <c r="D210" s="301"/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93"/>
    </row>
    <row r="211" spans="1:13" ht="18.75" customHeight="1">
      <c r="A211" s="293" t="str">
        <f t="shared" si="27"/>
        <v>TP</v>
      </c>
      <c r="B211" s="302">
        <f t="shared" si="28"/>
        <v>91</v>
      </c>
      <c r="C211" s="189" t="s">
        <v>424</v>
      </c>
      <c r="D211" s="301"/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93"/>
    </row>
    <row r="212" spans="1:13" ht="18.75" customHeight="1">
      <c r="A212" s="293" t="str">
        <f t="shared" si="27"/>
        <v>TP</v>
      </c>
      <c r="B212" s="302">
        <f t="shared" si="28"/>
        <v>92</v>
      </c>
      <c r="C212" s="40" t="s">
        <v>497</v>
      </c>
      <c r="D212" s="301"/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93"/>
    </row>
    <row r="213" spans="1:13" ht="18.75" customHeight="1">
      <c r="A213" s="293" t="str">
        <f t="shared" si="27"/>
        <v>TP</v>
      </c>
      <c r="B213" s="302">
        <f t="shared" si="28"/>
        <v>93</v>
      </c>
      <c r="C213" s="189" t="s">
        <v>489</v>
      </c>
      <c r="D213" s="301"/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93"/>
    </row>
    <row r="214" spans="1:13" ht="18.75" customHeight="1">
      <c r="A214" s="293" t="str">
        <f t="shared" si="27"/>
        <v>TP</v>
      </c>
      <c r="B214" s="302">
        <f t="shared" si="28"/>
        <v>94</v>
      </c>
      <c r="C214" s="192" t="s">
        <v>709</v>
      </c>
      <c r="D214" s="301"/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93"/>
    </row>
    <row r="215" spans="1:13" ht="18.75" customHeight="1">
      <c r="A215" s="293" t="str">
        <f t="shared" si="27"/>
        <v>TP</v>
      </c>
      <c r="B215" s="302">
        <f t="shared" si="28"/>
        <v>95</v>
      </c>
      <c r="C215" s="189" t="s">
        <v>522</v>
      </c>
      <c r="D215" s="301"/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93"/>
    </row>
    <row r="216" spans="1:13" ht="18.75" customHeight="1">
      <c r="A216" s="293" t="str">
        <f t="shared" si="27"/>
        <v>TP</v>
      </c>
      <c r="B216" s="302">
        <f t="shared" si="28"/>
        <v>96</v>
      </c>
      <c r="C216" s="189" t="s">
        <v>487</v>
      </c>
      <c r="D216" s="301"/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93"/>
    </row>
    <row r="217" spans="1:13" ht="18.75" customHeight="1">
      <c r="A217" s="293" t="str">
        <f t="shared" si="27"/>
        <v>TP</v>
      </c>
      <c r="B217" s="302">
        <f t="shared" si="28"/>
        <v>97</v>
      </c>
      <c r="C217" s="192" t="s">
        <v>711</v>
      </c>
      <c r="D217" s="301"/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93"/>
    </row>
    <row r="218" spans="1:13" ht="18.75" customHeight="1">
      <c r="A218" s="293" t="str">
        <f t="shared" si="27"/>
        <v>TP</v>
      </c>
      <c r="B218" s="302">
        <f t="shared" si="28"/>
        <v>98</v>
      </c>
      <c r="C218" s="192" t="s">
        <v>808</v>
      </c>
      <c r="D218" s="301"/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93"/>
    </row>
    <row r="219" spans="1:13" ht="18.75" customHeight="1">
      <c r="A219" s="293" t="str">
        <f t="shared" si="27"/>
        <v>TP</v>
      </c>
      <c r="B219" s="302">
        <f t="shared" si="28"/>
        <v>99</v>
      </c>
      <c r="C219" s="192" t="s">
        <v>695</v>
      </c>
      <c r="D219" s="301"/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93"/>
    </row>
    <row r="220" spans="1:13" ht="18.75" customHeight="1">
      <c r="A220" s="293" t="str">
        <f t="shared" si="27"/>
        <v>TP</v>
      </c>
      <c r="B220" s="302">
        <f t="shared" si="28"/>
        <v>100</v>
      </c>
      <c r="C220" s="189" t="s">
        <v>495</v>
      </c>
      <c r="D220" s="301"/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93"/>
    </row>
    <row r="221" spans="1:13" ht="18.75" customHeight="1">
      <c r="A221" s="293" t="str">
        <f t="shared" si="27"/>
        <v>TP</v>
      </c>
      <c r="B221" s="302">
        <f t="shared" si="28"/>
        <v>101</v>
      </c>
      <c r="C221" s="192" t="s">
        <v>611</v>
      </c>
      <c r="D221" s="301"/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93"/>
    </row>
    <row r="222" spans="1:13" ht="18.75" customHeight="1">
      <c r="A222" s="293" t="str">
        <f t="shared" si="27"/>
        <v>TP</v>
      </c>
      <c r="B222" s="302">
        <f t="shared" si="28"/>
        <v>102</v>
      </c>
      <c r="C222" s="192" t="s">
        <v>609</v>
      </c>
      <c r="D222" s="301"/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2">
        <f t="shared" si="28"/>
        <v>103</v>
      </c>
      <c r="C223" s="192" t="s">
        <v>710</v>
      </c>
      <c r="D223" s="301"/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2">
        <f t="shared" si="28"/>
        <v>104</v>
      </c>
      <c r="C224" s="189" t="s">
        <v>488</v>
      </c>
      <c r="D224" s="301"/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2">
        <f t="shared" si="28"/>
        <v>105</v>
      </c>
      <c r="C225" s="192" t="s">
        <v>596</v>
      </c>
      <c r="D225" s="301"/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2">
        <f t="shared" si="28"/>
        <v>106</v>
      </c>
      <c r="C226" s="192" t="s">
        <v>671</v>
      </c>
      <c r="D226" s="301"/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2">
        <f t="shared" si="28"/>
        <v>107</v>
      </c>
      <c r="C227" s="189" t="s">
        <v>851</v>
      </c>
      <c r="D227" s="301"/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2">
        <f t="shared" si="28"/>
        <v>108</v>
      </c>
      <c r="C228" s="189" t="s">
        <v>852</v>
      </c>
      <c r="D228" s="301"/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2">
        <f t="shared" si="28"/>
        <v>109</v>
      </c>
      <c r="C229" s="192" t="s">
        <v>727</v>
      </c>
      <c r="D229" s="301"/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2">
        <f t="shared" si="28"/>
        <v>110</v>
      </c>
      <c r="C230" s="192" t="s">
        <v>629</v>
      </c>
      <c r="D230" s="301"/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2">
        <f t="shared" si="28"/>
        <v>111</v>
      </c>
      <c r="C231" s="40" t="s">
        <v>587</v>
      </c>
      <c r="D231" s="301"/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2">
        <f t="shared" si="28"/>
        <v>112</v>
      </c>
      <c r="C232" s="40" t="s">
        <v>794</v>
      </c>
      <c r="D232" s="301"/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2">
        <f t="shared" si="28"/>
        <v>113</v>
      </c>
      <c r="C233" s="192" t="s">
        <v>599</v>
      </c>
      <c r="D233" s="301"/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2">
        <f t="shared" si="28"/>
        <v>114</v>
      </c>
      <c r="C234" s="192" t="s">
        <v>691</v>
      </c>
      <c r="D234" s="301"/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2">
        <f t="shared" si="28"/>
        <v>115</v>
      </c>
      <c r="C235" s="189" t="s">
        <v>1211</v>
      </c>
      <c r="D235" s="301"/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2">
        <f t="shared" si="28"/>
        <v>116</v>
      </c>
      <c r="C236" s="189" t="s">
        <v>790</v>
      </c>
      <c r="D236" s="301"/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2">
        <f t="shared" si="28"/>
        <v>117</v>
      </c>
      <c r="C237" s="192" t="s">
        <v>720</v>
      </c>
      <c r="D237" s="301"/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2">
        <f t="shared" si="28"/>
        <v>118</v>
      </c>
      <c r="C238" s="189" t="s">
        <v>575</v>
      </c>
      <c r="D238" s="301"/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2">
        <f t="shared" si="28"/>
        <v>119</v>
      </c>
      <c r="C239" s="189" t="s">
        <v>581</v>
      </c>
      <c r="D239" s="301"/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2">
        <f t="shared" si="28"/>
        <v>120</v>
      </c>
      <c r="C240" s="192" t="s">
        <v>708</v>
      </c>
      <c r="D240" s="301"/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2">
        <f t="shared" si="28"/>
        <v>121</v>
      </c>
      <c r="C241" s="40" t="s">
        <v>586</v>
      </c>
      <c r="D241" s="301"/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2">
        <f t="shared" si="28"/>
        <v>122</v>
      </c>
      <c r="C242" s="192" t="s">
        <v>866</v>
      </c>
      <c r="D242" s="301"/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2">
        <f t="shared" si="28"/>
        <v>123</v>
      </c>
      <c r="C243" s="189" t="s">
        <v>884</v>
      </c>
      <c r="D243" s="301"/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2">
        <f t="shared" si="28"/>
        <v>124</v>
      </c>
      <c r="C244" s="189" t="s">
        <v>520</v>
      </c>
      <c r="D244" s="301"/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2">
        <f t="shared" si="28"/>
        <v>125</v>
      </c>
      <c r="C245" s="189" t="s">
        <v>853</v>
      </c>
      <c r="D245" s="301"/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2">
        <f t="shared" si="28"/>
        <v>126</v>
      </c>
      <c r="C246" s="189" t="s">
        <v>572</v>
      </c>
      <c r="D246" s="301"/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2">
        <f t="shared" si="28"/>
        <v>127</v>
      </c>
      <c r="C247" s="192" t="s">
        <v>638</v>
      </c>
      <c r="D247" s="301"/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2">
        <f t="shared" si="28"/>
        <v>128</v>
      </c>
      <c r="C248" s="189" t="s">
        <v>776</v>
      </c>
      <c r="D248" s="301"/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ref="A249:A312" si="31">IF(B249&lt;&gt;"","TP","")</f>
        <v>TP</v>
      </c>
      <c r="B249" s="302">
        <f t="shared" ref="B249:B312" si="32">IF(C249&lt;&gt;"",B248+1,"")</f>
        <v>129</v>
      </c>
      <c r="C249" s="192" t="s">
        <v>658</v>
      </c>
      <c r="D249" s="301"/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93"/>
    </row>
    <row r="250" spans="1:13" ht="18.75" customHeight="1">
      <c r="A250" s="293" t="str">
        <f t="shared" si="31"/>
        <v>TP</v>
      </c>
      <c r="B250" s="302">
        <f t="shared" si="32"/>
        <v>130</v>
      </c>
      <c r="C250" s="192" t="s">
        <v>818</v>
      </c>
      <c r="D250" s="301"/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93"/>
    </row>
    <row r="251" spans="1:13" ht="18.75" customHeight="1">
      <c r="A251" s="293" t="str">
        <f t="shared" si="31"/>
        <v>TP</v>
      </c>
      <c r="B251" s="302">
        <f t="shared" si="32"/>
        <v>131</v>
      </c>
      <c r="C251" s="192" t="s">
        <v>623</v>
      </c>
      <c r="D251" s="301"/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93"/>
    </row>
    <row r="252" spans="1:13" ht="18.75" customHeight="1">
      <c r="A252" s="293" t="str">
        <f t="shared" si="31"/>
        <v>TP</v>
      </c>
      <c r="B252" s="302">
        <f t="shared" si="32"/>
        <v>132</v>
      </c>
      <c r="C252" s="192" t="s">
        <v>664</v>
      </c>
      <c r="D252" s="301"/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2">
        <f t="shared" si="32"/>
        <v>133</v>
      </c>
      <c r="C253" s="192" t="s">
        <v>598</v>
      </c>
      <c r="D253" s="301"/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2">
        <f t="shared" si="32"/>
        <v>134</v>
      </c>
      <c r="C254" s="189" t="s">
        <v>484</v>
      </c>
      <c r="D254" s="301"/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2">
        <f t="shared" si="32"/>
        <v>135</v>
      </c>
      <c r="C255" s="189" t="s">
        <v>437</v>
      </c>
      <c r="D255" s="301"/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2">
        <f t="shared" si="32"/>
        <v>136</v>
      </c>
      <c r="C256" s="189" t="s">
        <v>567</v>
      </c>
      <c r="D256" s="301"/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2">
        <f t="shared" si="32"/>
        <v>137</v>
      </c>
      <c r="C257" s="192" t="s">
        <v>604</v>
      </c>
      <c r="D257" s="301"/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2">
        <f t="shared" si="32"/>
        <v>138</v>
      </c>
      <c r="C258" s="192" t="s">
        <v>601</v>
      </c>
      <c r="D258" s="301"/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2">
        <f t="shared" si="32"/>
        <v>139</v>
      </c>
      <c r="C259" s="192" t="s">
        <v>656</v>
      </c>
      <c r="D259" s="301"/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2">
        <f t="shared" si="32"/>
        <v>140</v>
      </c>
      <c r="C260" s="189" t="s">
        <v>854</v>
      </c>
      <c r="D260" s="301"/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2">
        <f t="shared" si="32"/>
        <v>141</v>
      </c>
      <c r="C261" s="40" t="s">
        <v>528</v>
      </c>
      <c r="D261" s="301"/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2">
        <f t="shared" si="32"/>
        <v>142</v>
      </c>
      <c r="C262" s="192" t="s">
        <v>732</v>
      </c>
      <c r="D262" s="301"/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2">
        <f t="shared" si="32"/>
        <v>143</v>
      </c>
      <c r="C263" s="192" t="s">
        <v>633</v>
      </c>
      <c r="D263" s="301"/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2">
        <f t="shared" si="32"/>
        <v>144</v>
      </c>
      <c r="C264" s="189" t="s">
        <v>837</v>
      </c>
      <c r="D264" s="301"/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2">
        <f t="shared" si="32"/>
        <v>145</v>
      </c>
      <c r="C265" s="192" t="s">
        <v>622</v>
      </c>
      <c r="D265" s="301"/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93"/>
    </row>
    <row r="266" spans="1:13" ht="18.75" customHeight="1">
      <c r="A266" s="293" t="str">
        <f t="shared" si="31"/>
        <v>TP</v>
      </c>
      <c r="B266" s="302">
        <f t="shared" si="32"/>
        <v>146</v>
      </c>
      <c r="C266" s="192" t="s">
        <v>619</v>
      </c>
      <c r="D266" s="301"/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93"/>
    </row>
    <row r="267" spans="1:13" ht="18.75" customHeight="1">
      <c r="A267" s="293" t="str">
        <f t="shared" si="31"/>
        <v>TP</v>
      </c>
      <c r="B267" s="302">
        <f t="shared" si="32"/>
        <v>147</v>
      </c>
      <c r="C267" s="192" t="s">
        <v>675</v>
      </c>
      <c r="D267" s="301"/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2">
        <f t="shared" si="32"/>
        <v>148</v>
      </c>
      <c r="C268" s="192" t="s">
        <v>702</v>
      </c>
      <c r="D268" s="301"/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2">
        <f t="shared" si="32"/>
        <v>149</v>
      </c>
      <c r="C269" s="189" t="s">
        <v>780</v>
      </c>
      <c r="D269" s="301"/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2">
        <f t="shared" si="32"/>
        <v>150</v>
      </c>
      <c r="C270" s="189" t="s">
        <v>501</v>
      </c>
      <c r="D270" s="301"/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2">
        <f t="shared" si="32"/>
        <v>151</v>
      </c>
      <c r="C271" s="777" t="s">
        <v>504</v>
      </c>
      <c r="D271" s="301"/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2">
        <f t="shared" si="32"/>
        <v>152</v>
      </c>
      <c r="C272" s="189" t="s">
        <v>505</v>
      </c>
      <c r="D272" s="301"/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2">
        <f t="shared" si="32"/>
        <v>153</v>
      </c>
      <c r="C273" s="189" t="s">
        <v>755</v>
      </c>
      <c r="D273" s="301"/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2">
        <f t="shared" si="32"/>
        <v>154</v>
      </c>
      <c r="C274" s="192" t="s">
        <v>693</v>
      </c>
      <c r="D274" s="301"/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2">
        <f t="shared" si="32"/>
        <v>155</v>
      </c>
      <c r="C275" s="192" t="s">
        <v>706</v>
      </c>
      <c r="D275" s="301"/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2">
        <f t="shared" si="32"/>
        <v>156</v>
      </c>
      <c r="C276" s="189" t="s">
        <v>883</v>
      </c>
      <c r="D276" s="301"/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2">
        <f t="shared" si="32"/>
        <v>157</v>
      </c>
      <c r="C277" s="192" t="s">
        <v>740</v>
      </c>
      <c r="D277" s="301"/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2">
        <f t="shared" si="32"/>
        <v>158</v>
      </c>
      <c r="C278" s="189" t="s">
        <v>842</v>
      </c>
      <c r="D278" s="301"/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2">
        <f t="shared" si="32"/>
        <v>159</v>
      </c>
      <c r="C279" s="189" t="s">
        <v>826</v>
      </c>
      <c r="D279" s="301"/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2">
        <f t="shared" si="32"/>
        <v>160</v>
      </c>
      <c r="C280" s="192" t="s">
        <v>713</v>
      </c>
      <c r="D280" s="301"/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2">
        <f t="shared" si="32"/>
        <v>161</v>
      </c>
      <c r="C281" s="189" t="s">
        <v>574</v>
      </c>
      <c r="D281" s="301"/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2">
        <f t="shared" si="32"/>
        <v>162</v>
      </c>
      <c r="C282" s="192" t="s">
        <v>865</v>
      </c>
      <c r="D282" s="301"/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si="31"/>
        <v>TP</v>
      </c>
      <c r="B283" s="302">
        <f t="shared" si="32"/>
        <v>163</v>
      </c>
      <c r="C283" s="192" t="s">
        <v>864</v>
      </c>
      <c r="D283" s="301"/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93"/>
    </row>
    <row r="284" spans="1:13" ht="18.75" customHeight="1">
      <c r="A284" s="293" t="str">
        <f t="shared" si="31"/>
        <v>TP</v>
      </c>
      <c r="B284" s="302">
        <f t="shared" si="32"/>
        <v>164</v>
      </c>
      <c r="C284" s="189" t="s">
        <v>457</v>
      </c>
      <c r="D284" s="301"/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93"/>
    </row>
    <row r="285" spans="1:13" ht="18.75" customHeight="1">
      <c r="A285" s="293" t="str">
        <f t="shared" si="31"/>
        <v>TP</v>
      </c>
      <c r="B285" s="302">
        <f t="shared" si="32"/>
        <v>165</v>
      </c>
      <c r="C285" s="192" t="s">
        <v>605</v>
      </c>
      <c r="D285" s="301"/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93"/>
    </row>
    <row r="286" spans="1:13" ht="18.75" customHeight="1">
      <c r="A286" s="293" t="str">
        <f t="shared" si="31"/>
        <v>TP</v>
      </c>
      <c r="B286" s="302">
        <f t="shared" si="32"/>
        <v>166</v>
      </c>
      <c r="C286" s="189" t="s">
        <v>406</v>
      </c>
      <c r="D286" s="301"/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93"/>
    </row>
    <row r="287" spans="1:13" ht="18.75" customHeight="1">
      <c r="A287" s="293" t="str">
        <f t="shared" si="31"/>
        <v>TP</v>
      </c>
      <c r="B287" s="302">
        <f t="shared" si="32"/>
        <v>167</v>
      </c>
      <c r="C287" s="296" t="s">
        <v>534</v>
      </c>
      <c r="D287" s="301"/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93"/>
    </row>
    <row r="288" spans="1:13" ht="18.75" customHeight="1">
      <c r="A288" s="293" t="str">
        <f t="shared" si="31"/>
        <v>TP</v>
      </c>
      <c r="B288" s="302">
        <f t="shared" si="32"/>
        <v>168</v>
      </c>
      <c r="C288" s="40" t="s">
        <v>560</v>
      </c>
      <c r="D288" s="301"/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93"/>
    </row>
    <row r="289" spans="1:13" ht="18.75" customHeight="1">
      <c r="A289" s="293" t="str">
        <f t="shared" si="31"/>
        <v>TP</v>
      </c>
      <c r="B289" s="302">
        <f t="shared" si="32"/>
        <v>169</v>
      </c>
      <c r="C289" s="192" t="s">
        <v>825</v>
      </c>
      <c r="D289" s="301"/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93"/>
    </row>
    <row r="290" spans="1:13" ht="18.75" customHeight="1">
      <c r="A290" s="293" t="str">
        <f t="shared" si="31"/>
        <v>TP</v>
      </c>
      <c r="B290" s="302">
        <f t="shared" si="32"/>
        <v>170</v>
      </c>
      <c r="C290" s="192" t="s">
        <v>892</v>
      </c>
      <c r="D290" s="301"/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93"/>
    </row>
    <row r="291" spans="1:13" ht="18.75" customHeight="1">
      <c r="A291" s="293" t="str">
        <f t="shared" si="31"/>
        <v>TP</v>
      </c>
      <c r="B291" s="302">
        <f t="shared" si="32"/>
        <v>171</v>
      </c>
      <c r="C291" s="189" t="s">
        <v>850</v>
      </c>
      <c r="D291" s="301"/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93"/>
    </row>
    <row r="292" spans="1:13" ht="18.75" customHeight="1">
      <c r="A292" s="293" t="str">
        <f t="shared" si="31"/>
        <v>TP</v>
      </c>
      <c r="B292" s="302">
        <f t="shared" si="32"/>
        <v>172</v>
      </c>
      <c r="C292" s="189" t="s">
        <v>460</v>
      </c>
      <c r="D292" s="301"/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93"/>
    </row>
    <row r="293" spans="1:13" ht="18.75" customHeight="1">
      <c r="A293" s="293" t="str">
        <f t="shared" si="31"/>
        <v>TP</v>
      </c>
      <c r="B293" s="302">
        <f t="shared" si="32"/>
        <v>173</v>
      </c>
      <c r="C293" s="189" t="s">
        <v>518</v>
      </c>
      <c r="D293" s="301"/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93"/>
    </row>
    <row r="294" spans="1:13" ht="18.75" customHeight="1">
      <c r="A294" s="293" t="str">
        <f t="shared" si="31"/>
        <v>TP</v>
      </c>
      <c r="B294" s="302">
        <f t="shared" si="32"/>
        <v>174</v>
      </c>
      <c r="C294" s="189" t="s">
        <v>464</v>
      </c>
      <c r="D294" s="301"/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93"/>
    </row>
    <row r="295" spans="1:13" ht="18.75" customHeight="1">
      <c r="A295" s="293" t="str">
        <f t="shared" si="31"/>
        <v>TP</v>
      </c>
      <c r="B295" s="302">
        <f t="shared" si="32"/>
        <v>175</v>
      </c>
      <c r="C295" s="189" t="s">
        <v>456</v>
      </c>
      <c r="D295" s="301"/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93"/>
    </row>
    <row r="296" spans="1:13" ht="18.75" customHeight="1">
      <c r="A296" s="293" t="str">
        <f t="shared" si="31"/>
        <v>TP</v>
      </c>
      <c r="B296" s="302">
        <f t="shared" si="32"/>
        <v>176</v>
      </c>
      <c r="C296" s="189" t="s">
        <v>855</v>
      </c>
      <c r="D296" s="301"/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93"/>
    </row>
    <row r="297" spans="1:13" ht="18.75" customHeight="1">
      <c r="A297" s="293" t="str">
        <f t="shared" si="31"/>
        <v>TP</v>
      </c>
      <c r="B297" s="302">
        <f t="shared" si="32"/>
        <v>177</v>
      </c>
      <c r="C297" s="189" t="s">
        <v>856</v>
      </c>
      <c r="D297" s="301"/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93"/>
    </row>
    <row r="298" spans="1:13" ht="18.75" customHeight="1">
      <c r="A298" s="293" t="str">
        <f t="shared" si="31"/>
        <v>TP</v>
      </c>
      <c r="B298" s="302">
        <f t="shared" si="32"/>
        <v>178</v>
      </c>
      <c r="C298" s="192" t="s">
        <v>594</v>
      </c>
      <c r="D298" s="301"/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93"/>
    </row>
    <row r="299" spans="1:13" ht="18.75" customHeight="1">
      <c r="A299" s="293" t="str">
        <f t="shared" si="31"/>
        <v>TP</v>
      </c>
      <c r="B299" s="302">
        <f t="shared" si="32"/>
        <v>179</v>
      </c>
      <c r="C299" s="189" t="s">
        <v>422</v>
      </c>
      <c r="D299" s="301"/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93"/>
    </row>
    <row r="300" spans="1:13" ht="18.75" customHeight="1">
      <c r="A300" s="293" t="str">
        <f t="shared" si="31"/>
        <v>TP</v>
      </c>
      <c r="B300" s="302">
        <f t="shared" si="32"/>
        <v>180</v>
      </c>
      <c r="C300" s="192" t="s">
        <v>824</v>
      </c>
      <c r="D300" s="301"/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93"/>
    </row>
    <row r="301" spans="1:13" ht="18.75" customHeight="1">
      <c r="A301" s="293" t="str">
        <f t="shared" si="31"/>
        <v>TP</v>
      </c>
      <c r="B301" s="302">
        <f t="shared" si="32"/>
        <v>181</v>
      </c>
      <c r="C301" s="189" t="s">
        <v>474</v>
      </c>
      <c r="D301" s="301"/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93"/>
    </row>
    <row r="302" spans="1:13" ht="18.75" customHeight="1">
      <c r="A302" s="293" t="str">
        <f t="shared" si="31"/>
        <v>TP</v>
      </c>
      <c r="B302" s="302">
        <f t="shared" si="32"/>
        <v>182</v>
      </c>
      <c r="C302" s="40" t="s">
        <v>432</v>
      </c>
      <c r="D302" s="301"/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93"/>
    </row>
    <row r="303" spans="1:13" ht="18.75" customHeight="1">
      <c r="A303" s="293" t="str">
        <f t="shared" si="31"/>
        <v>TP</v>
      </c>
      <c r="B303" s="302">
        <f t="shared" si="32"/>
        <v>183</v>
      </c>
      <c r="C303" s="192" t="s">
        <v>767</v>
      </c>
      <c r="D303" s="301"/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93"/>
    </row>
    <row r="304" spans="1:13" ht="18.75" customHeight="1">
      <c r="A304" s="293" t="str">
        <f t="shared" si="31"/>
        <v>TP</v>
      </c>
      <c r="B304" s="302">
        <f t="shared" si="32"/>
        <v>184</v>
      </c>
      <c r="C304" s="189" t="s">
        <v>482</v>
      </c>
      <c r="D304" s="301"/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93"/>
    </row>
    <row r="305" spans="1:13" ht="18.75" customHeight="1">
      <c r="A305" s="293" t="str">
        <f t="shared" si="31"/>
        <v>TP</v>
      </c>
      <c r="B305" s="302">
        <f t="shared" si="32"/>
        <v>185</v>
      </c>
      <c r="C305" s="189" t="s">
        <v>516</v>
      </c>
      <c r="D305" s="301"/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93"/>
    </row>
    <row r="306" spans="1:13" ht="18.75" customHeight="1">
      <c r="A306" s="293" t="str">
        <f t="shared" si="31"/>
        <v>TP</v>
      </c>
      <c r="B306" s="302">
        <f t="shared" si="32"/>
        <v>186</v>
      </c>
      <c r="C306" s="189" t="s">
        <v>828</v>
      </c>
      <c r="D306" s="301"/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93"/>
    </row>
    <row r="307" spans="1:13" ht="18.75" customHeight="1">
      <c r="A307" s="293" t="str">
        <f t="shared" si="31"/>
        <v>TP</v>
      </c>
      <c r="B307" s="302">
        <f t="shared" si="32"/>
        <v>187</v>
      </c>
      <c r="C307" s="189" t="s">
        <v>553</v>
      </c>
      <c r="D307" s="301"/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93"/>
    </row>
    <row r="308" spans="1:13" ht="18.75" customHeight="1">
      <c r="A308" s="293" t="str">
        <f t="shared" si="31"/>
        <v>TP</v>
      </c>
      <c r="B308" s="302">
        <f t="shared" si="32"/>
        <v>188</v>
      </c>
      <c r="C308" s="192" t="s">
        <v>861</v>
      </c>
      <c r="D308" s="301"/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93"/>
    </row>
    <row r="309" spans="1:13" ht="18.75" customHeight="1">
      <c r="A309" s="293" t="str">
        <f t="shared" si="31"/>
        <v>TP</v>
      </c>
      <c r="B309" s="302">
        <f t="shared" si="32"/>
        <v>189</v>
      </c>
      <c r="C309" s="192" t="s">
        <v>748</v>
      </c>
      <c r="D309" s="301"/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93"/>
    </row>
    <row r="310" spans="1:13" ht="18.75" customHeight="1">
      <c r="A310" s="293" t="str">
        <f t="shared" si="31"/>
        <v>TP</v>
      </c>
      <c r="B310" s="302">
        <f t="shared" si="32"/>
        <v>190</v>
      </c>
      <c r="C310" s="40" t="s">
        <v>584</v>
      </c>
      <c r="D310" s="301"/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93"/>
    </row>
    <row r="311" spans="1:13" ht="18.75" customHeight="1">
      <c r="A311" s="293" t="str">
        <f t="shared" si="31"/>
        <v>TP</v>
      </c>
      <c r="B311" s="302">
        <f t="shared" si="32"/>
        <v>191</v>
      </c>
      <c r="C311" s="296" t="s">
        <v>829</v>
      </c>
      <c r="D311" s="301"/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93"/>
    </row>
    <row r="312" spans="1:13" ht="18.75" customHeight="1">
      <c r="A312" s="293" t="str">
        <f t="shared" si="31"/>
        <v>TP</v>
      </c>
      <c r="B312" s="302">
        <f t="shared" si="32"/>
        <v>192</v>
      </c>
      <c r="C312" s="189" t="s">
        <v>555</v>
      </c>
      <c r="D312" s="301"/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93"/>
    </row>
    <row r="313" spans="1:13" ht="18.75" customHeight="1">
      <c r="A313" s="293" t="str">
        <f t="shared" ref="A313:A330" si="35">IF(B313&lt;&gt;"","TP","")</f>
        <v>TP</v>
      </c>
      <c r="B313" s="302">
        <f t="shared" ref="B313:B330" si="36">IF(C313&lt;&gt;"",B312+1,"")</f>
        <v>193</v>
      </c>
      <c r="C313" s="189" t="s">
        <v>440</v>
      </c>
      <c r="D313" s="301"/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93"/>
    </row>
    <row r="314" spans="1:13" ht="18.75" customHeight="1">
      <c r="A314" s="293" t="str">
        <f t="shared" si="35"/>
        <v>TP</v>
      </c>
      <c r="B314" s="302">
        <f t="shared" si="36"/>
        <v>194</v>
      </c>
      <c r="C314" s="443" t="s">
        <v>453</v>
      </c>
      <c r="D314" s="301"/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93"/>
    </row>
    <row r="315" spans="1:13" ht="18.75" customHeight="1">
      <c r="A315" s="293" t="str">
        <f t="shared" si="35"/>
        <v>TP</v>
      </c>
      <c r="B315" s="302">
        <f t="shared" si="36"/>
        <v>195</v>
      </c>
      <c r="C315" s="189" t="s">
        <v>498</v>
      </c>
      <c r="D315" s="301"/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93"/>
    </row>
    <row r="316" spans="1:13" ht="18.75" customHeight="1">
      <c r="A316" s="293" t="str">
        <f t="shared" si="35"/>
        <v>TP</v>
      </c>
      <c r="B316" s="302">
        <f t="shared" si="36"/>
        <v>196</v>
      </c>
      <c r="C316" s="189" t="s">
        <v>533</v>
      </c>
      <c r="D316" s="301"/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93"/>
    </row>
    <row r="317" spans="1:13" ht="18.75" customHeight="1">
      <c r="A317" s="293" t="str">
        <f t="shared" si="35"/>
        <v>TP</v>
      </c>
      <c r="B317" s="302">
        <f t="shared" si="36"/>
        <v>197</v>
      </c>
      <c r="C317" s="192" t="s">
        <v>592</v>
      </c>
      <c r="D317" s="301"/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93"/>
    </row>
    <row r="318" spans="1:13" ht="18.75" customHeight="1">
      <c r="A318" s="293" t="str">
        <f t="shared" si="35"/>
        <v>TP</v>
      </c>
      <c r="B318" s="302">
        <f t="shared" si="36"/>
        <v>198</v>
      </c>
      <c r="C318" s="189" t="s">
        <v>844</v>
      </c>
      <c r="D318" s="301"/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93"/>
    </row>
    <row r="319" spans="1:13" ht="18.75" customHeight="1">
      <c r="A319" s="293" t="str">
        <f t="shared" si="35"/>
        <v>TP</v>
      </c>
      <c r="B319" s="302">
        <f t="shared" si="36"/>
        <v>199</v>
      </c>
      <c r="C319" s="192" t="s">
        <v>687</v>
      </c>
      <c r="D319" s="301"/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93"/>
    </row>
    <row r="320" spans="1:13" ht="18.75" customHeight="1">
      <c r="A320" s="293" t="str">
        <f t="shared" si="35"/>
        <v>TP</v>
      </c>
      <c r="B320" s="302">
        <f t="shared" si="36"/>
        <v>200</v>
      </c>
      <c r="C320" s="192" t="s">
        <v>717</v>
      </c>
      <c r="D320" s="301"/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93"/>
    </row>
    <row r="321" spans="1:13" ht="18.75" customHeight="1">
      <c r="A321" s="293" t="str">
        <f t="shared" si="35"/>
        <v>TP</v>
      </c>
      <c r="B321" s="302">
        <f t="shared" si="36"/>
        <v>201</v>
      </c>
      <c r="C321" s="40" t="s">
        <v>772</v>
      </c>
      <c r="D321" s="301"/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93"/>
    </row>
    <row r="322" spans="1:13" ht="18.75" customHeight="1">
      <c r="A322" s="293" t="str">
        <f t="shared" si="35"/>
        <v>TP</v>
      </c>
      <c r="B322" s="302">
        <f t="shared" si="36"/>
        <v>202</v>
      </c>
      <c r="C322" s="192" t="s">
        <v>696</v>
      </c>
      <c r="D322" s="301"/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93"/>
    </row>
    <row r="323" spans="1:13" ht="18.75" customHeight="1">
      <c r="A323" s="293" t="str">
        <f t="shared" si="35"/>
        <v>TP</v>
      </c>
      <c r="B323" s="302">
        <f t="shared" si="36"/>
        <v>203</v>
      </c>
      <c r="C323" s="192" t="s">
        <v>761</v>
      </c>
      <c r="D323" s="301"/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93"/>
    </row>
    <row r="324" spans="1:13" ht="18.75" customHeight="1">
      <c r="A324" s="293" t="str">
        <f t="shared" si="35"/>
        <v>TP</v>
      </c>
      <c r="B324" s="302">
        <f t="shared" si="36"/>
        <v>204</v>
      </c>
      <c r="C324" s="40" t="s">
        <v>859</v>
      </c>
      <c r="D324" s="301"/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93"/>
    </row>
    <row r="325" spans="1:13" ht="18.75" customHeight="1">
      <c r="A325" s="293" t="str">
        <f t="shared" si="35"/>
        <v>TP</v>
      </c>
      <c r="B325" s="302">
        <f t="shared" si="36"/>
        <v>205</v>
      </c>
      <c r="C325" s="40" t="s">
        <v>875</v>
      </c>
      <c r="D325" s="301"/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93"/>
    </row>
    <row r="326" spans="1:13" ht="18.75" customHeight="1">
      <c r="A326" s="293" t="str">
        <f t="shared" si="35"/>
        <v>TP</v>
      </c>
      <c r="B326" s="302">
        <f t="shared" si="36"/>
        <v>206</v>
      </c>
      <c r="C326" s="192" t="s">
        <v>754</v>
      </c>
      <c r="D326" s="301"/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93"/>
    </row>
    <row r="327" spans="1:13" ht="18.75" customHeight="1">
      <c r="A327" s="293" t="str">
        <f t="shared" si="35"/>
        <v>TP</v>
      </c>
      <c r="B327" s="302">
        <f t="shared" si="36"/>
        <v>207</v>
      </c>
      <c r="C327" s="192" t="s">
        <v>683</v>
      </c>
      <c r="D327" s="301"/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93"/>
    </row>
    <row r="328" spans="1:13" ht="18.75" customHeight="1">
      <c r="A328" s="293" t="str">
        <f t="shared" si="35"/>
        <v>TP</v>
      </c>
      <c r="B328" s="302">
        <f t="shared" si="36"/>
        <v>208</v>
      </c>
      <c r="C328" s="192" t="s">
        <v>745</v>
      </c>
      <c r="D328" s="301"/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93"/>
    </row>
    <row r="329" spans="1:13" ht="18.75" customHeight="1">
      <c r="A329" s="293" t="str">
        <f t="shared" si="35"/>
        <v>TP</v>
      </c>
      <c r="B329" s="302">
        <f t="shared" si="36"/>
        <v>209</v>
      </c>
      <c r="C329" s="192" t="s">
        <v>723</v>
      </c>
      <c r="D329" s="301"/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93"/>
    </row>
    <row r="330" spans="1:13" ht="18.75" customHeight="1">
      <c r="A330" s="293" t="str">
        <f t="shared" si="35"/>
        <v>TP</v>
      </c>
      <c r="B330" s="302">
        <f t="shared" si="36"/>
        <v>210</v>
      </c>
      <c r="C330" s="192" t="s">
        <v>752</v>
      </c>
      <c r="D330" s="301"/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93"/>
    </row>
    <row r="331" spans="1:13" ht="18.75" customHeight="1">
      <c r="A331" s="293" t="str">
        <f t="shared" ref="A331:A340" si="39">IF(B331&lt;&gt;"","TP","")</f>
        <v>TP</v>
      </c>
      <c r="B331" s="302">
        <f t="shared" ref="B331:B340" si="40">IF(C331&lt;&gt;"",B330+1,"")</f>
        <v>211</v>
      </c>
      <c r="C331" s="189" t="s">
        <v>447</v>
      </c>
      <c r="D331" s="301"/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93"/>
    </row>
    <row r="332" spans="1:13" ht="18.75" customHeight="1">
      <c r="A332" s="293" t="str">
        <f t="shared" si="39"/>
        <v>TP</v>
      </c>
      <c r="B332" s="302">
        <f t="shared" si="40"/>
        <v>212</v>
      </c>
      <c r="C332" s="189" t="s">
        <v>434</v>
      </c>
      <c r="D332" s="301"/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93"/>
    </row>
    <row r="333" spans="1:13" ht="18.75" customHeight="1">
      <c r="A333" s="293" t="str">
        <f t="shared" si="39"/>
        <v>TP</v>
      </c>
      <c r="B333" s="302">
        <f t="shared" si="40"/>
        <v>213</v>
      </c>
      <c r="C333" s="189" t="s">
        <v>449</v>
      </c>
      <c r="D333" s="301"/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93"/>
    </row>
    <row r="334" spans="1:13" ht="18.75" customHeight="1">
      <c r="A334" s="293" t="str">
        <f t="shared" si="39"/>
        <v>TP</v>
      </c>
      <c r="B334" s="302">
        <f t="shared" si="40"/>
        <v>214</v>
      </c>
      <c r="C334" s="40" t="s">
        <v>429</v>
      </c>
      <c r="D334" s="301"/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93"/>
    </row>
    <row r="335" spans="1:13" ht="18.75" customHeight="1">
      <c r="A335" s="293" t="str">
        <f t="shared" si="39"/>
        <v>TP</v>
      </c>
      <c r="B335" s="302">
        <f t="shared" si="40"/>
        <v>215</v>
      </c>
      <c r="C335" s="189" t="s">
        <v>431</v>
      </c>
      <c r="D335" s="301"/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93"/>
    </row>
    <row r="336" spans="1:13" ht="18.75" customHeight="1">
      <c r="A336" s="293" t="str">
        <f t="shared" si="39"/>
        <v>TP</v>
      </c>
      <c r="B336" s="302">
        <f t="shared" si="40"/>
        <v>216</v>
      </c>
      <c r="C336" s="40" t="s">
        <v>427</v>
      </c>
      <c r="D336" s="301"/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93"/>
    </row>
    <row r="337" spans="1:13" ht="18.75" customHeight="1">
      <c r="A337" s="293" t="str">
        <f t="shared" si="39"/>
        <v>TP</v>
      </c>
      <c r="B337" s="302">
        <f t="shared" si="40"/>
        <v>217</v>
      </c>
      <c r="C337" s="189" t="s">
        <v>452</v>
      </c>
      <c r="D337" s="301"/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93"/>
    </row>
    <row r="338" spans="1:13" ht="18.75" customHeight="1">
      <c r="A338" s="293" t="str">
        <f t="shared" si="39"/>
        <v>TP</v>
      </c>
      <c r="B338" s="302">
        <f t="shared" si="40"/>
        <v>218</v>
      </c>
      <c r="C338" s="40" t="s">
        <v>430</v>
      </c>
      <c r="D338" s="301"/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93"/>
    </row>
    <row r="339" spans="1:13" ht="18.75" customHeight="1">
      <c r="A339" s="293" t="str">
        <f t="shared" si="39"/>
        <v>TP</v>
      </c>
      <c r="B339" s="302">
        <f t="shared" si="40"/>
        <v>219</v>
      </c>
      <c r="C339" s="189" t="s">
        <v>451</v>
      </c>
      <c r="D339" s="301"/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93"/>
    </row>
    <row r="340" spans="1:13" ht="18.75" customHeight="1">
      <c r="A340" s="293" t="str">
        <f t="shared" si="39"/>
        <v>TP</v>
      </c>
      <c r="B340" s="302">
        <f t="shared" si="40"/>
        <v>220</v>
      </c>
      <c r="C340" s="189" t="s">
        <v>784</v>
      </c>
      <c r="D340" s="301"/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93"/>
    </row>
    <row r="341" spans="1:13" ht="18.75" customHeight="1">
      <c r="A341" s="293" t="str">
        <f t="shared" ref="A341:A343" si="41">IF(B341&lt;&gt;"","TP","")</f>
        <v>TP</v>
      </c>
      <c r="B341" s="302">
        <f t="shared" ref="B341:B343" si="42">IF(C341&lt;&gt;"",B340+1,"")</f>
        <v>221</v>
      </c>
      <c r="C341" s="189" t="s">
        <v>785</v>
      </c>
      <c r="D341" s="301"/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93"/>
    </row>
    <row r="342" spans="1:13" ht="18.75" customHeight="1">
      <c r="A342" s="293" t="str">
        <f t="shared" si="41"/>
        <v>TP</v>
      </c>
      <c r="B342" s="302">
        <f t="shared" si="42"/>
        <v>222</v>
      </c>
      <c r="C342" s="189" t="s">
        <v>787</v>
      </c>
      <c r="D342" s="301"/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93"/>
    </row>
    <row r="343" spans="1:13" ht="18.75" customHeight="1">
      <c r="A343" s="293" t="str">
        <f t="shared" si="41"/>
        <v>TP</v>
      </c>
      <c r="B343" s="302">
        <f t="shared" si="42"/>
        <v>223</v>
      </c>
      <c r="C343" s="189" t="s">
        <v>788</v>
      </c>
      <c r="D343" s="301"/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93"/>
    </row>
    <row r="344" spans="1:13" ht="18.75" customHeight="1">
      <c r="A344" s="293"/>
      <c r="B344" s="302"/>
      <c r="C344" s="189"/>
      <c r="D344" s="301"/>
      <c r="E344" s="8"/>
      <c r="F344" s="8"/>
      <c r="G344" s="25"/>
      <c r="H344" s="25"/>
      <c r="I344" s="25"/>
      <c r="J344" s="25"/>
      <c r="K344" s="8"/>
      <c r="L344" s="8"/>
      <c r="M344" s="293"/>
    </row>
    <row r="345" spans="1:13" ht="18.75" customHeight="1">
      <c r="A345" s="293" t="str">
        <f t="shared" ref="A345:A346" si="45">IF(B345&lt;&gt;"","TP","")</f>
        <v/>
      </c>
      <c r="B345" s="292"/>
      <c r="C345" s="300" t="s">
        <v>203</v>
      </c>
      <c r="D345" s="29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93"/>
    </row>
    <row r="346" spans="1:13" ht="18.75" customHeight="1">
      <c r="A346" s="293" t="str">
        <f t="shared" si="45"/>
        <v/>
      </c>
      <c r="B346" s="460"/>
      <c r="C346" s="460"/>
      <c r="D346" s="459"/>
      <c r="E346" s="461"/>
      <c r="F346" s="461">
        <f>F345-CDPS!C25</f>
        <v>0</v>
      </c>
      <c r="G346" s="461"/>
      <c r="H346" s="461">
        <f>H345-CDPS!E25</f>
        <v>0</v>
      </c>
      <c r="I346" s="461"/>
      <c r="J346" s="461">
        <f>J345-CDPS!F25</f>
        <v>0</v>
      </c>
      <c r="K346" s="461"/>
      <c r="L346" s="461">
        <f>L345-CDPS!G25</f>
        <v>0</v>
      </c>
      <c r="M346" s="303"/>
    </row>
    <row r="347" spans="1:13" ht="18.75" customHeight="1"/>
    <row r="348" spans="1:13" ht="19.5" customHeight="1"/>
    <row r="349" spans="1:13" ht="19.5" customHeight="1">
      <c r="C349" s="1029"/>
      <c r="D349" s="1029"/>
      <c r="E349" s="1029"/>
      <c r="F349" s="811"/>
      <c r="G349" s="811"/>
      <c r="H349" s="811"/>
      <c r="I349" s="811"/>
      <c r="J349" s="1029" t="s">
        <v>415</v>
      </c>
      <c r="K349" s="1029"/>
      <c r="L349" s="1029"/>
    </row>
    <row r="350" spans="1:13" ht="19.5" customHeight="1">
      <c r="C350" s="812"/>
      <c r="D350" s="812"/>
      <c r="E350" s="812"/>
      <c r="F350" s="1029"/>
      <c r="G350" s="1029"/>
      <c r="H350" s="1029"/>
      <c r="I350" s="811"/>
      <c r="J350" s="1029" t="s">
        <v>109</v>
      </c>
      <c r="K350" s="1029"/>
      <c r="L350" s="1029"/>
    </row>
    <row r="351" spans="1:13" ht="19.5" customHeight="1">
      <c r="C351" s="812"/>
      <c r="D351" s="812"/>
      <c r="E351" s="812"/>
      <c r="F351" s="1029"/>
      <c r="G351" s="1029"/>
      <c r="H351" s="1029"/>
      <c r="I351" s="288"/>
      <c r="J351" s="1029" t="s">
        <v>136</v>
      </c>
      <c r="K351" s="1029"/>
      <c r="L351" s="1029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36" customFormat="1" ht="12" customHeight="1">
      <c r="A2" s="635" t="str">
        <f>TH!A1</f>
        <v>Đơn vị: CÔNG TY TNHH SX TM KIM DUNG PHÁT</v>
      </c>
      <c r="G2" s="637" t="str">
        <f>+IF(LEFT($D$7,1)="N","Mẫu số 01 - VT","Mẫu số 02 - VT")</f>
        <v>Mẫu số 02 - VT</v>
      </c>
    </row>
    <row r="3" spans="1:17" s="636" customFormat="1" ht="12" customHeight="1">
      <c r="A3" s="63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7" t="s">
        <v>104</v>
      </c>
      <c r="O3" s="639"/>
      <c r="P3" s="640">
        <f>IF(J5="Quý I",1,IF(J5="Quý II",4,IF(J5="Quý III",7,IF(J5="Quý IV",10,""))))</f>
        <v>10</v>
      </c>
      <c r="Q3" s="640">
        <f>IF(J5="Quý I",3,IF(J5="Quý II",6,IF(J5="Quý III",9,IF(J5="Quý IV",12,""))))</f>
        <v>12</v>
      </c>
    </row>
    <row r="4" spans="1:17" s="63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1"/>
      <c r="M4" s="642"/>
      <c r="N4" s="637" t="s">
        <v>105</v>
      </c>
      <c r="O4" s="639"/>
    </row>
    <row r="5" spans="1:17" ht="18" customHeight="1" thickBot="1">
      <c r="D5" s="311" t="str">
        <f>+IF(LEFT($L$5,1)="N","PHIẾU NHẬP KHO","PHIẾU XUẤT KHO")</f>
        <v>PHIẾU XUẤT KHO</v>
      </c>
      <c r="J5" s="632" t="s">
        <v>407</v>
      </c>
      <c r="K5" s="312"/>
      <c r="L5" s="633" t="s">
        <v>410</v>
      </c>
      <c r="M5" s="313"/>
      <c r="N5" s="634">
        <v>2</v>
      </c>
      <c r="O5" s="308"/>
      <c r="P5" s="308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5"/>
      <c r="M6" s="310"/>
      <c r="O6" s="308"/>
    </row>
    <row r="7" spans="1:17" ht="10.5" customHeight="1">
      <c r="C7" s="646" t="str">
        <f xml:space="preserve"> "Số:"</f>
        <v>Số:</v>
      </c>
      <c r="D7" s="647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48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9" t="s">
        <v>35</v>
      </c>
      <c r="B14" s="1079" t="s">
        <v>204</v>
      </c>
      <c r="C14" s="1079" t="s">
        <v>205</v>
      </c>
      <c r="D14" s="1079" t="s">
        <v>196</v>
      </c>
      <c r="E14" s="1081" t="s">
        <v>206</v>
      </c>
      <c r="F14" s="1081"/>
      <c r="G14" s="1079" t="s">
        <v>207</v>
      </c>
      <c r="H14" s="1079" t="s">
        <v>208</v>
      </c>
    </row>
    <row r="15" spans="1:17" ht="12.75" customHeight="1">
      <c r="A15" s="1080"/>
      <c r="B15" s="1080"/>
      <c r="C15" s="1080"/>
      <c r="D15" s="1080"/>
      <c r="E15" s="649" t="s">
        <v>209</v>
      </c>
      <c r="F15" s="649" t="str">
        <f>IF(LEFT($D$7,1)="N","Thực nhập","Thực xuất")</f>
        <v>Thực xuất</v>
      </c>
      <c r="G15" s="1080"/>
      <c r="H15" s="1080"/>
    </row>
    <row r="16" spans="1:17" s="71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(36,5x18,5x20,5)</v>
      </c>
      <c r="C17" s="653"/>
      <c r="D17" s="654">
        <f ca="1">IF(ISNA(VLOOKUP(B17,NXT!$C$12:$D$344,2,0)),"",VLOOKUP(B17,NXT!$C$12:$D$344,2,0))</f>
        <v>0</v>
      </c>
      <c r="E17" s="655"/>
      <c r="F17" s="656">
        <f ca="1">IF(ROWS($1:1)&gt;COUNT(Dong10),"",OFFSET(TH!I$1,SMALL(Dong10,ROWS($1:1)),))</f>
        <v>267</v>
      </c>
      <c r="G17" s="656">
        <f ca="1">IF(ROWS($1:1)&gt;COUNT(Dong10),"",OFFSET(TH!J$1,SMALL(Dong10,ROWS($1:1)),))</f>
        <v>3700</v>
      </c>
      <c r="H17" s="655">
        <f ca="1">IF(F17&lt;&gt;"",ROUND(F17*G17,0),0)</f>
        <v>987900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(44x18x38)</v>
      </c>
      <c r="C18" s="653"/>
      <c r="D18" s="654">
        <f ca="1">IF(ISNA(VLOOKUP(B18,NXT!$C$12:$D$344,2,0)),"",VLOOKUP(B18,NXT!$C$12:$D$344,2,0))</f>
        <v>0</v>
      </c>
      <c r="E18" s="655"/>
      <c r="F18" s="656">
        <f ca="1">IF(ROWS($1:2)&gt;COUNT(Dong10),"",OFFSET(TH!I$1,SMALL(Dong10,ROWS($1:2)),))</f>
        <v>120</v>
      </c>
      <c r="G18" s="656">
        <f ca="1">IF(ROWS($1:2)&gt;COUNT(Dong10),"",OFFSET(TH!J$1,SMALL(Dong10,ROWS($1:2)),))</f>
        <v>6500</v>
      </c>
      <c r="H18" s="655">
        <f t="shared" ref="H18:H24" ca="1" si="1">IF(F18&lt;&gt;"",ROUND(F18*G18,0),0)</f>
        <v>780000</v>
      </c>
    </row>
    <row r="19" spans="1:8" ht="11.25" customHeight="1">
      <c r="A19" s="651">
        <f t="shared" ca="1" si="0"/>
        <v>3</v>
      </c>
      <c r="B19" s="652" t="str">
        <f ca="1">IF(ROWS($1:3)&gt;COUNT(Dong10),"",OFFSET(TH!F$1,SMALL(Dong10,ROWS($1:3)),))</f>
        <v>Nắp (56x28x7)</v>
      </c>
      <c r="C19" s="653"/>
      <c r="D19" s="654">
        <f ca="1">IF(ISNA(VLOOKUP(B19,NXT!$C$12:$D$344,2,0)),"",VLOOKUP(B19,NXT!$C$12:$D$344,2,0))</f>
        <v>0</v>
      </c>
      <c r="E19" s="655"/>
      <c r="F19" s="656">
        <f ca="1">IF(ROWS($1:3)&gt;COUNT(Dong10),"",OFFSET(TH!I$1,SMALL(Dong10,ROWS($1:3)),))</f>
        <v>230</v>
      </c>
      <c r="G19" s="656">
        <f ca="1">IF(ROWS($1:3)&gt;COUNT(Dong10),"",OFFSET(TH!J$1,SMALL(Dong10,ROWS($1:3)),))</f>
        <v>6500</v>
      </c>
      <c r="H19" s="655">
        <f t="shared" ca="1" si="1"/>
        <v>1495000</v>
      </c>
    </row>
    <row r="20" spans="1:8" ht="11.25" customHeight="1">
      <c r="A20" s="651">
        <f t="shared" ca="1" si="0"/>
        <v>4</v>
      </c>
      <c r="B20" s="652" t="str">
        <f ca="1">IF(ROWS($1:4)&gt;COUNT(Dong10),"",OFFSET(TH!F$1,SMALL(Dong10,ROWS($1:4)),))</f>
        <v>Nắp (46x23x7)</v>
      </c>
      <c r="C20" s="653"/>
      <c r="D20" s="654">
        <f ca="1">IF(ISNA(VLOOKUP(B20,NXT!$C$12:$D$344,2,0)),"",VLOOKUP(B20,NXT!$C$12:$D$344,2,0))</f>
        <v>0</v>
      </c>
      <c r="E20" s="655"/>
      <c r="F20" s="656">
        <f ca="1">IF(ROWS($1:4)&gt;COUNT(Dong10),"",OFFSET(TH!I$1,SMALL(Dong10,ROWS($1:4)),))</f>
        <v>230</v>
      </c>
      <c r="G20" s="656">
        <f ca="1">IF(ROWS($1:4)&gt;COUNT(Dong10),"",OFFSET(TH!J$1,SMALL(Dong10,ROWS($1:4)),))</f>
        <v>5500</v>
      </c>
      <c r="H20" s="655">
        <f t="shared" ca="1" si="1"/>
        <v>1265000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IF(ISNA(VLOOKUP(B21,NXT!$C$12:$D$344,2,0)),"",VLOOKUP(B21,NXT!$C$12:$D$344,2,0))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IF(ISNA(VLOOKUP(B22,NXT!$C$12:$D$344,2,0)),"",VLOOKUP(B22,NXT!$C$12:$D$344,2,0))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IF(ISNA(VLOOKUP(B23,NXT!$C$12:$D$344,2,0)),"",VLOOKUP(B23,NXT!$C$12:$D$344,2,0))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IF(ISNA(VLOOKUP(B24,NXT!$C$12:$D$344,2,0)),"",VLOOKUP(B24,NXT!$C$12:$D$344,2,0))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IF(ISNA(VLOOKUP(B25,NXT!$C$12:$D$344,2,0)),"",VLOOKUP(B25,NXT!$C$12:$D$344,2,0))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81" t="s">
        <v>210</v>
      </c>
      <c r="B27" s="1081"/>
      <c r="C27" s="658"/>
      <c r="D27" s="658"/>
      <c r="E27" s="659"/>
      <c r="F27" s="659"/>
      <c r="G27" s="659"/>
      <c r="H27" s="659">
        <f ca="1">SUM(H17:H26)</f>
        <v>4527900</v>
      </c>
    </row>
    <row r="28" spans="1:8" ht="3" customHeight="1">
      <c r="A28" s="660"/>
      <c r="B28" s="660"/>
      <c r="C28" s="310"/>
      <c r="D28" s="310"/>
      <c r="E28" s="661"/>
      <c r="F28" s="661"/>
      <c r="G28" s="661"/>
      <c r="H28" s="661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2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213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82" t="s">
        <v>214</v>
      </c>
      <c r="K2" s="1082"/>
      <c r="L2" s="1082"/>
      <c r="M2" s="1082"/>
      <c r="N2" s="324"/>
    </row>
    <row r="3" spans="1:17" s="263" customFormat="1" ht="16.5" customHeight="1">
      <c r="B3" s="585" t="str">
        <f>TH!A2</f>
        <v>Địa chỉ: 1A227/1 Ấp 1, Phạm Văn Hai, Bình Chánh, TPHCM</v>
      </c>
      <c r="C3" s="320"/>
      <c r="D3" s="320"/>
      <c r="E3" s="325"/>
      <c r="F3" s="320"/>
      <c r="J3" s="1083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3"/>
      <c r="L3" s="1083"/>
      <c r="M3" s="1083"/>
      <c r="N3" s="326"/>
    </row>
    <row r="4" spans="1:17" s="263" customFormat="1" ht="16.5" customHeight="1">
      <c r="B4" s="320"/>
      <c r="C4" s="320"/>
      <c r="D4" s="320"/>
      <c r="E4" s="325"/>
      <c r="F4" s="320"/>
      <c r="J4" s="1083"/>
      <c r="K4" s="1083"/>
      <c r="L4" s="1083"/>
      <c r="M4" s="1083"/>
      <c r="N4" s="326"/>
    </row>
    <row r="5" spans="1:17" ht="18.75" customHeight="1">
      <c r="B5" s="1084" t="s">
        <v>215</v>
      </c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327"/>
    </row>
    <row r="6" spans="1:17" s="328" customFormat="1" ht="12.75">
      <c r="B6" s="1085" t="s">
        <v>216</v>
      </c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329"/>
    </row>
    <row r="7" spans="1:17">
      <c r="C7" s="330"/>
      <c r="D7" s="330"/>
      <c r="F7" s="332" t="s">
        <v>268</v>
      </c>
      <c r="G7" s="448" t="str">
        <f>IF($O$10="VL","1522",IF($O$10="NL","1521",IF($O$10="TP","155","")))</f>
        <v>1521</v>
      </c>
      <c r="H7" s="332" t="s">
        <v>217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218</v>
      </c>
      <c r="H8" s="330"/>
      <c r="I8" s="330"/>
      <c r="J8" s="1086" t="s">
        <v>1080</v>
      </c>
      <c r="K8" s="1086"/>
      <c r="L8" s="1086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88" t="s">
        <v>35</v>
      </c>
      <c r="B10" s="1089" t="s">
        <v>1</v>
      </c>
      <c r="C10" s="1089"/>
      <c r="D10" s="1090" t="s">
        <v>0</v>
      </c>
      <c r="E10" s="1090" t="s">
        <v>219</v>
      </c>
      <c r="F10" s="1090" t="s">
        <v>207</v>
      </c>
      <c r="G10" s="1092" t="s">
        <v>220</v>
      </c>
      <c r="H10" s="1093"/>
      <c r="I10" s="1092" t="s">
        <v>221</v>
      </c>
      <c r="J10" s="1093"/>
      <c r="K10" s="1092" t="s">
        <v>222</v>
      </c>
      <c r="L10" s="1093"/>
      <c r="M10" s="1090" t="s">
        <v>127</v>
      </c>
      <c r="N10" s="337"/>
      <c r="O10" s="338" t="s">
        <v>213</v>
      </c>
    </row>
    <row r="11" spans="1:17" ht="31.5" customHeight="1">
      <c r="A11" s="1088"/>
      <c r="B11" s="339" t="s">
        <v>15</v>
      </c>
      <c r="C11" s="339" t="s">
        <v>32</v>
      </c>
      <c r="D11" s="1090"/>
      <c r="E11" s="1090"/>
      <c r="F11" s="1090"/>
      <c r="G11" s="339" t="s">
        <v>206</v>
      </c>
      <c r="H11" s="339" t="s">
        <v>208</v>
      </c>
      <c r="I11" s="339" t="s">
        <v>206</v>
      </c>
      <c r="J11" s="339" t="s">
        <v>208</v>
      </c>
      <c r="K11" s="339" t="s">
        <v>206</v>
      </c>
      <c r="L11" s="339" t="s">
        <v>208</v>
      </c>
      <c r="M11" s="1090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224</v>
      </c>
      <c r="I12" s="341">
        <v>4</v>
      </c>
      <c r="J12" s="341" t="s">
        <v>225</v>
      </c>
      <c r="K12" s="341">
        <v>6</v>
      </c>
      <c r="L12" s="341" t="s">
        <v>226</v>
      </c>
      <c r="M12" s="341"/>
      <c r="N12" s="343"/>
    </row>
    <row r="13" spans="1:17" hidden="1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>
        <f>VLOOKUP($J$8,NXT!$C$12:$L$344,3,0)</f>
        <v>0</v>
      </c>
      <c r="L13" s="348">
        <f>VLOOKUP($J$8,NXT!$C$12:$L$344,4,0)</f>
        <v>0</v>
      </c>
      <c r="M13" s="347"/>
      <c r="N13" s="343"/>
    </row>
    <row r="14" spans="1:17">
      <c r="A14" s="314">
        <f ca="1">IF(B14="","",ROW()-13)</f>
        <v>1</v>
      </c>
      <c r="B14" s="349" t="str">
        <f ca="1">IF(ROWS($1:1)&gt;COUNT(Dong11),"",OFFSET(TH!D$1,SMALL(Dong11,ROWS($1:1)),))</f>
        <v>NL/N10</v>
      </c>
      <c r="C14" s="350">
        <f ca="1">IF(ROWS($1:1)&gt;COUNT(Dong11),"",OFFSET(TH!E$1,SMALL(Dong11,ROWS($1:1)),))</f>
        <v>41820</v>
      </c>
      <c r="D14" s="351" t="str">
        <f ca="1">IF(ROWS($1:1)&gt;COUNT(Dong11),"",OFFSET(TH!H$1,SMALL(Dong11,ROWS($1:1)),))</f>
        <v>Cty TNHH SX-TM Vĩnh Phúc</v>
      </c>
      <c r="E14" s="349" t="str">
        <f ca="1">IF(ROWS($1:1)&gt;COUNT(Dong11),"",IF(OFFSET(TH!L$1,SMALL(Dong11,ROWS($1:1)),)=$G$7,OFFSET(TH!M$1,SMALL(Dong11,ROWS($1:1)),),OFFSET(TH!L$1,SMALL(Dong11,ROWS($1:1)),)))</f>
        <v>331</v>
      </c>
      <c r="F14" s="352">
        <f ca="1">IF(ROWS($1:1)&gt;COUNT(Dong11),0,OFFSET(TH!J$1,SMALL(Dong11,ROWS($1:1)),))</f>
        <v>8500</v>
      </c>
      <c r="G14" s="352">
        <f ca="1">IF(ROWS($1:1)&gt;COUNT(Dong11),0,IF(MID(OFFSET(TH!D$1,SMALL(Dong11,ROWS($1:1)),),4,1)="N",OFFSET(TH!I$1,SMALL(Dong11,ROWS($1:1)),),0))</f>
        <v>10230</v>
      </c>
      <c r="H14" s="353">
        <f ca="1">ROUND(F14*G14,0)</f>
        <v>86955000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10230</v>
      </c>
      <c r="L14" s="353">
        <f ca="1">IF(D14&lt;&gt;"",L13+H14-J14,0)</f>
        <v>86955000</v>
      </c>
      <c r="M14" s="353"/>
      <c r="N14" s="343"/>
    </row>
    <row r="15" spans="1:17" hidden="1">
      <c r="A15" s="314">
        <f t="shared" ref="A15:A72" ca="1" si="0">IF(B15="","",ROW()-13)</f>
        <v>2</v>
      </c>
      <c r="B15" s="349" t="str">
        <f ca="1">IF(ROWS($1:2)&gt;COUNT(Dong11),"",OFFSET(TH!D$1,SMALL(Dong11,ROWS($1:2)),))</f>
        <v>NL/N01</v>
      </c>
      <c r="C15" s="350">
        <f ca="1">IF(ROWS($1:2)&gt;COUNT(Dong11),"",OFFSET(TH!E$1,SMALL(Dong11,ROWS($1:2)),))</f>
        <v>41823</v>
      </c>
      <c r="D15" s="351" t="str">
        <f ca="1">IF(ROWS($1:2)&gt;COUNT(Dong11),"",OFFSET(TH!H$1,SMALL(Dong11,ROWS($1:2)),))</f>
        <v>Cty MTV TM SX Giấy Trường Phước</v>
      </c>
      <c r="E15" s="349" t="str">
        <f ca="1">IF(ROWS($1:2)&gt;COUNT(Dong11),"",IF(OFFSET(TH!L$1,SMALL(Dong11,ROWS($1:2)),)=$G$7,OFFSET(TH!M$1,SMALL(Dong11,ROWS($1:2)),),OFFSET(TH!L$1,SMALL(Dong11,ROWS($1:2)),)))</f>
        <v>331</v>
      </c>
      <c r="F15" s="352">
        <f ca="1">IF(ROWS($1:2)&gt;COUNT(Dong11),0,OFFSET(TH!J$1,SMALL(Dong11,ROWS($1:2)),))</f>
        <v>7500</v>
      </c>
      <c r="G15" s="352">
        <f ca="1">IF(ROWS($1:2)&gt;COUNT(Dong11),0,IF(MID(OFFSET(TH!D$1,SMALL(Dong11,ROWS($1:2)),),4,1)="N",OFFSET(TH!I$1,SMALL(Dong11,ROWS($1:2)),),0))</f>
        <v>7379</v>
      </c>
      <c r="H15" s="353">
        <f t="shared" ref="H15:H72" ca="1" si="1">ROUND(F15*G15,0)</f>
        <v>55342500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72" ca="1" si="2">ROUND(F15*I15,0)</f>
        <v>0</v>
      </c>
      <c r="K15" s="353">
        <f t="shared" ref="K15:K72" ca="1" si="3">IF(D15&lt;&gt;"",K14+G15-I15,0)</f>
        <v>17609</v>
      </c>
      <c r="L15" s="353">
        <f t="shared" ref="L15:L72" ca="1" si="4">IF(D15&lt;&gt;"",L14+H15-J15,0)</f>
        <v>142297500</v>
      </c>
      <c r="M15" s="353"/>
      <c r="N15" s="343"/>
      <c r="Q15" s="354"/>
    </row>
    <row r="16" spans="1:17" hidden="1">
      <c r="A16" s="314">
        <f t="shared" ca="1" si="0"/>
        <v>3</v>
      </c>
      <c r="B16" s="349" t="str">
        <f ca="1">IF(ROWS($1:3)&gt;COUNT(Dong11),"",OFFSET(TH!D$1,SMALL(Dong11,ROWS($1:3)),))</f>
        <v>NL/N01</v>
      </c>
      <c r="C16" s="350">
        <f ca="1">IF(ROWS($1:3)&gt;COUNT(Dong11),"",OFFSET(TH!E$1,SMALL(Dong11,ROWS($1:3)),))</f>
        <v>41823</v>
      </c>
      <c r="D16" s="351" t="str">
        <f ca="1">IF(ROWS($1:3)&gt;COUNT(Dong11),"",OFFSET(TH!H$1,SMALL(Dong11,ROWS($1:3)),))</f>
        <v>Cty MTV TM SX Giấy Trường Phước</v>
      </c>
      <c r="E16" s="349" t="str">
        <f ca="1">IF(ROWS($1:3)&gt;COUNT(Dong11),"",IF(OFFSET(TH!L$1,SMALL(Dong11,ROWS($1:3)),)=$G$7,OFFSET(TH!M$1,SMALL(Dong11,ROWS($1:3)),),OFFSET(TH!L$1,SMALL(Dong11,ROWS($1:3)),)))</f>
        <v>331</v>
      </c>
      <c r="F16" s="352">
        <f ca="1">IF(ROWS($1:3)&gt;COUNT(Dong11),0,OFFSET(TH!J$1,SMALL(Dong11,ROWS($1:3)),))</f>
        <v>7200</v>
      </c>
      <c r="G16" s="352">
        <f ca="1">IF(ROWS($1:3)&gt;COUNT(Dong11),0,IF(MID(OFFSET(TH!D$1,SMALL(Dong11,ROWS($1:3)),),4,1)="N",OFFSET(TH!I$1,SMALL(Dong11,ROWS($1:3)),),0))</f>
        <v>5973</v>
      </c>
      <c r="H16" s="353">
        <f t="shared" ca="1" si="1"/>
        <v>43005600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23582</v>
      </c>
      <c r="L16" s="353">
        <f t="shared" ca="1" si="4"/>
        <v>185303100</v>
      </c>
      <c r="M16" s="353"/>
      <c r="N16" s="343"/>
    </row>
    <row r="17" spans="1:16">
      <c r="A17" s="314">
        <f t="shared" ca="1" si="0"/>
        <v>4</v>
      </c>
      <c r="B17" s="349" t="str">
        <f ca="1">IF(ROWS($1:4)&gt;COUNT(Dong11),"",OFFSET(TH!D$1,SMALL(Dong11,ROWS($1:4)),))</f>
        <v>NL/N02</v>
      </c>
      <c r="C17" s="350">
        <f ca="1">IF(ROWS($1:4)&gt;COUNT(Dong11),"",OFFSET(TH!E$1,SMALL(Dong11,ROWS($1:4)),))</f>
        <v>41826</v>
      </c>
      <c r="D17" s="351" t="str">
        <f ca="1">IF(ROWS($1:4)&gt;COUNT(Dong11),"",OFFSET(TH!H$1,SMALL(Dong11,ROWS($1:4)),))</f>
        <v>Cty TNHH SX-TM Vĩnh Phúc</v>
      </c>
      <c r="E17" s="349" t="str">
        <f ca="1">IF(ROWS($1:4)&gt;COUNT(Dong11),"",IF(OFFSET(TH!L$1,SMALL(Dong11,ROWS($1:4)),)=$G$7,OFFSET(TH!M$1,SMALL(Dong11,ROWS($1:4)),),OFFSET(TH!L$1,SMALL(Dong11,ROWS($1:4)),)))</f>
        <v>331</v>
      </c>
      <c r="F17" s="352">
        <f ca="1">IF(ROWS($1:4)&gt;COUNT(Dong11),0,OFFSET(TH!J$1,SMALL(Dong11,ROWS($1:4)),))</f>
        <v>8500</v>
      </c>
      <c r="G17" s="352">
        <f ca="1">IF(ROWS($1:4)&gt;COUNT(Dong11),0,IF(MID(OFFSET(TH!D$1,SMALL(Dong11,ROWS($1:4)),),4,1)="N",OFFSET(TH!I$1,SMALL(Dong11,ROWS($1:4)),),0))</f>
        <v>9665</v>
      </c>
      <c r="H17" s="353">
        <f t="shared" ca="1" si="1"/>
        <v>82152500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33247</v>
      </c>
      <c r="L17" s="353">
        <f t="shared" ca="1" si="4"/>
        <v>267455600</v>
      </c>
      <c r="M17" s="353"/>
      <c r="N17" s="343"/>
      <c r="P17" s="355"/>
    </row>
    <row r="18" spans="1:16">
      <c r="A18" s="314">
        <f t="shared" ca="1" si="0"/>
        <v>5</v>
      </c>
      <c r="B18" s="349" t="str">
        <f ca="1">IF(ROWS($1:5)&gt;COUNT(Dong11),"",OFFSET(TH!D$1,SMALL(Dong11,ROWS($1:5)),))</f>
        <v>NL/N04</v>
      </c>
      <c r="C18" s="350">
        <f ca="1">IF(ROWS($1:5)&gt;COUNT(Dong11),"",OFFSET(TH!E$1,SMALL(Dong11,ROWS($1:5)),))</f>
        <v>41830</v>
      </c>
      <c r="D18" s="351" t="str">
        <f ca="1">IF(ROWS($1:5)&gt;COUNT(Dong11),"",OFFSET(TH!H$1,SMALL(Dong11,ROWS($1:5)),))</f>
        <v>Cty TNHH SX-TM Vĩnh Phúc</v>
      </c>
      <c r="E18" s="349" t="str">
        <f ca="1">IF(ROWS($1:5)&gt;COUNT(Dong11),"",IF(OFFSET(TH!L$1,SMALL(Dong11,ROWS($1:5)),)=$G$7,OFFSET(TH!M$1,SMALL(Dong11,ROWS($1:5)),),OFFSET(TH!L$1,SMALL(Dong11,ROWS($1:5)),)))</f>
        <v>331</v>
      </c>
      <c r="F18" s="352">
        <f ca="1">IF(ROWS($1:5)&gt;COUNT(Dong11),0,OFFSET(TH!J$1,SMALL(Dong11,ROWS($1:5)),))</f>
        <v>8500</v>
      </c>
      <c r="G18" s="352">
        <f ca="1">IF(ROWS($1:5)&gt;COUNT(Dong11),0,IF(MID(OFFSET(TH!D$1,SMALL(Dong11,ROWS($1:5)),),4,1)="N",OFFSET(TH!I$1,SMALL(Dong11,ROWS($1:5)),),0))</f>
        <v>15247</v>
      </c>
      <c r="H18" s="353">
        <f t="shared" ca="1" si="1"/>
        <v>129599500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48494</v>
      </c>
      <c r="L18" s="353">
        <f t="shared" ca="1" si="4"/>
        <v>397055100</v>
      </c>
      <c r="M18" s="353"/>
      <c r="N18" s="343"/>
    </row>
    <row r="19" spans="1:16" hidden="1">
      <c r="A19" s="314">
        <f t="shared" ca="1" si="0"/>
        <v>6</v>
      </c>
      <c r="B19" s="349" t="str">
        <f ca="1">IF(ROWS($1:6)&gt;COUNT(Dong11),"",OFFSET(TH!D$1,SMALL(Dong11,ROWS($1:6)),))</f>
        <v>NL/N06</v>
      </c>
      <c r="C19" s="350">
        <f ca="1">IF(ROWS($1:6)&gt;COUNT(Dong11),"",OFFSET(TH!E$1,SMALL(Dong11,ROWS($1:6)),))</f>
        <v>41834</v>
      </c>
      <c r="D19" s="351" t="str">
        <f ca="1">IF(ROWS($1:6)&gt;COUNT(Dong11),"",OFFSET(TH!H$1,SMALL(Dong11,ROWS($1:6)),))</f>
        <v>Cty MTV TM SX Giấy Trường Phước</v>
      </c>
      <c r="E19" s="349" t="str">
        <f ca="1">IF(ROWS($1:6)&gt;COUNT(Dong11),"",IF(OFFSET(TH!L$1,SMALL(Dong11,ROWS($1:6)),)=$G$7,OFFSET(TH!M$1,SMALL(Dong11,ROWS($1:6)),),OFFSET(TH!L$1,SMALL(Dong11,ROWS($1:6)),)))</f>
        <v>331</v>
      </c>
      <c r="F19" s="352">
        <f ca="1">IF(ROWS($1:6)&gt;COUNT(Dong11),0,OFFSET(TH!J$1,SMALL(Dong11,ROWS($1:6)),))</f>
        <v>7200</v>
      </c>
      <c r="G19" s="352">
        <f ca="1">IF(ROWS($1:6)&gt;COUNT(Dong11),0,IF(MID(OFFSET(TH!D$1,SMALL(Dong11,ROWS($1:6)),),4,1)="N",OFFSET(TH!I$1,SMALL(Dong11,ROWS($1:6)),),0))</f>
        <v>1663</v>
      </c>
      <c r="H19" s="353">
        <f t="shared" ca="1" si="1"/>
        <v>11973600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50157</v>
      </c>
      <c r="L19" s="353">
        <f t="shared" ca="1" si="4"/>
        <v>409028700</v>
      </c>
      <c r="M19" s="353"/>
      <c r="N19" s="343"/>
    </row>
    <row r="20" spans="1:16" hidden="1">
      <c r="A20" s="314">
        <f t="shared" ca="1" si="0"/>
        <v>7</v>
      </c>
      <c r="B20" s="349" t="str">
        <f ca="1">IF(ROWS($1:7)&gt;COUNT(Dong11),"",OFFSET(TH!D$1,SMALL(Dong11,ROWS($1:7)),))</f>
        <v>NL/N06</v>
      </c>
      <c r="C20" s="350">
        <f ca="1">IF(ROWS($1:7)&gt;COUNT(Dong11),"",OFFSET(TH!E$1,SMALL(Dong11,ROWS($1:7)),))</f>
        <v>41834</v>
      </c>
      <c r="D20" s="351" t="str">
        <f ca="1">IF(ROWS($1:7)&gt;COUNT(Dong11),"",OFFSET(TH!H$1,SMALL(Dong11,ROWS($1:7)),))</f>
        <v>Cty MTV TM SX Giấy Trường Phước</v>
      </c>
      <c r="E20" s="349" t="str">
        <f ca="1">IF(ROWS($1:7)&gt;COUNT(Dong11),"",IF(OFFSET(TH!L$1,SMALL(Dong11,ROWS($1:7)),)=$G$7,OFFSET(TH!M$1,SMALL(Dong11,ROWS($1:7)),),OFFSET(TH!L$1,SMALL(Dong11,ROWS($1:7)),)))</f>
        <v>331</v>
      </c>
      <c r="F20" s="352">
        <f ca="1">IF(ROWS($1:7)&gt;COUNT(Dong11),0,OFFSET(TH!J$1,SMALL(Dong11,ROWS($1:7)),))</f>
        <v>7500</v>
      </c>
      <c r="G20" s="352">
        <f ca="1">IF(ROWS($1:7)&gt;COUNT(Dong11),0,IF(MID(OFFSET(TH!D$1,SMALL(Dong11,ROWS($1:7)),),4,1)="N",OFFSET(TH!I$1,SMALL(Dong11,ROWS($1:7)),),0))</f>
        <v>1821</v>
      </c>
      <c r="H20" s="353">
        <f t="shared" ca="1" si="1"/>
        <v>13657500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51978</v>
      </c>
      <c r="L20" s="353">
        <f t="shared" ca="1" si="4"/>
        <v>422686200</v>
      </c>
      <c r="M20" s="353"/>
      <c r="N20" s="343"/>
    </row>
    <row r="21" spans="1:16">
      <c r="A21" s="314">
        <f t="shared" ca="1" si="0"/>
        <v>8</v>
      </c>
      <c r="B21" s="349" t="str">
        <f ca="1">IF(ROWS($1:8)&gt;COUNT(Dong11),"",OFFSET(TH!D$1,SMALL(Dong11,ROWS($1:8)),))</f>
        <v>NL/N08</v>
      </c>
      <c r="C21" s="350">
        <f ca="1">IF(ROWS($1:8)&gt;COUNT(Dong11),"",OFFSET(TH!E$1,SMALL(Dong11,ROWS($1:8)),))</f>
        <v>41835</v>
      </c>
      <c r="D21" s="351" t="str">
        <f ca="1">IF(ROWS($1:8)&gt;COUNT(Dong11),"",OFFSET(TH!H$1,SMALL(Dong11,ROWS($1:8)),))</f>
        <v>Cty TNHH SX-TM Vĩnh Phúc</v>
      </c>
      <c r="E21" s="349" t="str">
        <f ca="1">IF(ROWS($1:8)&gt;COUNT(Dong11),"",IF(OFFSET(TH!L$1,SMALL(Dong11,ROWS($1:8)),)=$G$7,OFFSET(TH!M$1,SMALL(Dong11,ROWS($1:8)),),OFFSET(TH!L$1,SMALL(Dong11,ROWS($1:8)),)))</f>
        <v>331</v>
      </c>
      <c r="F21" s="352">
        <f ca="1">IF(ROWS($1:8)&gt;COUNT(Dong11),0,OFFSET(TH!J$1,SMALL(Dong11,ROWS($1:8)),))</f>
        <v>8500</v>
      </c>
      <c r="G21" s="352">
        <f ca="1">IF(ROWS($1:8)&gt;COUNT(Dong11),0,IF(MID(OFFSET(TH!D$1,SMALL(Dong11,ROWS($1:8)),),4,1)="N",OFFSET(TH!I$1,SMALL(Dong11,ROWS($1:8)),),0))</f>
        <v>9240</v>
      </c>
      <c r="H21" s="353">
        <f t="shared" ca="1" si="1"/>
        <v>78540000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61218</v>
      </c>
      <c r="L21" s="353">
        <f t="shared" ca="1" si="4"/>
        <v>501226200</v>
      </c>
      <c r="M21" s="353"/>
      <c r="N21" s="343"/>
    </row>
    <row r="22" spans="1:16">
      <c r="A22" s="314">
        <f t="shared" ca="1" si="0"/>
        <v>9</v>
      </c>
      <c r="B22" s="349" t="str">
        <f ca="1">IF(ROWS($1:9)&gt;COUNT(Dong11),"",OFFSET(TH!D$1,SMALL(Dong11,ROWS($1:9)),))</f>
        <v>NL/N13</v>
      </c>
      <c r="C22" s="350">
        <f ca="1">IF(ROWS($1:9)&gt;COUNT(Dong11),"",OFFSET(TH!E$1,SMALL(Dong11,ROWS($1:9)),))</f>
        <v>41847</v>
      </c>
      <c r="D22" s="351" t="str">
        <f ca="1">IF(ROWS($1:9)&gt;COUNT(Dong11),"",OFFSET(TH!H$1,SMALL(Dong11,ROWS($1:9)),))</f>
        <v>Cty TNHH SX-TM Vĩnh Phúc</v>
      </c>
      <c r="E22" s="349" t="str">
        <f ca="1">IF(ROWS($1:9)&gt;COUNT(Dong11),"",IF(OFFSET(TH!L$1,SMALL(Dong11,ROWS($1:9)),)=$G$7,OFFSET(TH!M$1,SMALL(Dong11,ROWS($1:9)),),OFFSET(TH!L$1,SMALL(Dong11,ROWS($1:9)),)))</f>
        <v>331</v>
      </c>
      <c r="F22" s="352">
        <f ca="1">IF(ROWS($1:9)&gt;COUNT(Dong11),0,OFFSET(TH!J$1,SMALL(Dong11,ROWS($1:9)),))</f>
        <v>8500</v>
      </c>
      <c r="G22" s="352">
        <f ca="1">IF(ROWS($1:9)&gt;COUNT(Dong11),0,IF(MID(OFFSET(TH!D$1,SMALL(Dong11,ROWS($1:9)),),4,1)="N",OFFSET(TH!I$1,SMALL(Dong11,ROWS($1:9)),),0))</f>
        <v>5880</v>
      </c>
      <c r="H22" s="353">
        <f t="shared" ca="1" si="1"/>
        <v>49980000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67098</v>
      </c>
      <c r="L22" s="353">
        <f t="shared" ca="1" si="4"/>
        <v>551206200</v>
      </c>
      <c r="M22" s="353"/>
      <c r="N22" s="343"/>
    </row>
    <row r="23" spans="1:16">
      <c r="A23" s="314">
        <f t="shared" ca="1" si="0"/>
        <v>10</v>
      </c>
      <c r="B23" s="349" t="str">
        <f ca="1">IF(ROWS($1:10)&gt;COUNT(Dong11),"",OFFSET(TH!D$1,SMALL(Dong11,ROWS($1:10)),))</f>
        <v>NL/N17</v>
      </c>
      <c r="C23" s="350">
        <f ca="1">IF(ROWS($1:10)&gt;COUNT(Dong11),"",OFFSET(TH!E$1,SMALL(Dong11,ROWS($1:10)),))</f>
        <v>41852</v>
      </c>
      <c r="D23" s="351" t="str">
        <f ca="1">IF(ROWS($1:10)&gt;COUNT(Dong11),"",OFFSET(TH!H$1,SMALL(Dong11,ROWS($1:10)),))</f>
        <v>Cty TNHH SX-TM Vĩnh Phúc</v>
      </c>
      <c r="E23" s="349" t="str">
        <f ca="1">IF(ROWS($1:10)&gt;COUNT(Dong11),"",IF(OFFSET(TH!L$1,SMALL(Dong11,ROWS($1:10)),)=$G$7,OFFSET(TH!M$1,SMALL(Dong11,ROWS($1:10)),),OFFSET(TH!L$1,SMALL(Dong11,ROWS($1:10)),)))</f>
        <v>331</v>
      </c>
      <c r="F23" s="352">
        <f ca="1">IF(ROWS($1:10)&gt;COUNT(Dong11),0,OFFSET(TH!J$1,SMALL(Dong11,ROWS($1:10)),))</f>
        <v>8500</v>
      </c>
      <c r="G23" s="352">
        <f ca="1">IF(ROWS($1:10)&gt;COUNT(Dong11),0,IF(MID(OFFSET(TH!D$1,SMALL(Dong11,ROWS($1:10)),),4,1)="N",OFFSET(TH!I$1,SMALL(Dong11,ROWS($1:10)),),0))</f>
        <v>5710</v>
      </c>
      <c r="H23" s="353">
        <f t="shared" ca="1" si="1"/>
        <v>48535000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72808</v>
      </c>
      <c r="L23" s="353">
        <f t="shared" ca="1" si="4"/>
        <v>599741200</v>
      </c>
      <c r="M23" s="353"/>
      <c r="N23" s="343"/>
    </row>
    <row r="24" spans="1:16" hidden="1">
      <c r="A24" s="314">
        <f t="shared" ca="1" si="0"/>
        <v>11</v>
      </c>
      <c r="B24" s="349" t="str">
        <f ca="1">IF(ROWS($1:11)&gt;COUNT(Dong11),"",OFFSET(TH!D$1,SMALL(Dong11,ROWS($1:11)),))</f>
        <v>NL/N18</v>
      </c>
      <c r="C24" s="350">
        <f ca="1">IF(ROWS($1:11)&gt;COUNT(Dong11),"",OFFSET(TH!E$1,SMALL(Dong11,ROWS($1:11)),))</f>
        <v>41853</v>
      </c>
      <c r="D24" s="351" t="str">
        <f ca="1">IF(ROWS($1:11)&gt;COUNT(Dong11),"",OFFSET(TH!H$1,SMALL(Dong11,ROWS($1:11)),))</f>
        <v>Cty TNHH Giấy Minh Đạt</v>
      </c>
      <c r="E24" s="349" t="str">
        <f ca="1">IF(ROWS($1:11)&gt;COUNT(Dong11),"",IF(OFFSET(TH!L$1,SMALL(Dong11,ROWS($1:11)),)=$G$7,OFFSET(TH!M$1,SMALL(Dong11,ROWS($1:11)),),OFFSET(TH!L$1,SMALL(Dong11,ROWS($1:11)),)))</f>
        <v>331</v>
      </c>
      <c r="F24" s="352">
        <f ca="1">IF(ROWS($1:11)&gt;COUNT(Dong11),0,OFFSET(TH!J$1,SMALL(Dong11,ROWS($1:11)),))</f>
        <v>7600</v>
      </c>
      <c r="G24" s="352">
        <f ca="1">IF(ROWS($1:11)&gt;COUNT(Dong11),0,IF(MID(OFFSET(TH!D$1,SMALL(Dong11,ROWS($1:11)),),4,1)="N",OFFSET(TH!I$1,SMALL(Dong11,ROWS($1:11)),),0))</f>
        <v>11999</v>
      </c>
      <c r="H24" s="353">
        <f t="shared" ca="1" si="1"/>
        <v>91192400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84807</v>
      </c>
      <c r="L24" s="353">
        <f t="shared" ca="1" si="4"/>
        <v>690933600</v>
      </c>
      <c r="M24" s="353"/>
      <c r="N24" s="343"/>
    </row>
    <row r="25" spans="1:16" hidden="1">
      <c r="A25" s="314">
        <f t="shared" ca="1" si="0"/>
        <v>12</v>
      </c>
      <c r="B25" s="349" t="str">
        <f ca="1">IF(ROWS($1:12)&gt;COUNT(Dong11),"",OFFSET(TH!D$1,SMALL(Dong11,ROWS($1:12)),))</f>
        <v>NL/N19</v>
      </c>
      <c r="C25" s="350">
        <f ca="1">IF(ROWS($1:12)&gt;COUNT(Dong11),"",OFFSET(TH!E$1,SMALL(Dong11,ROWS($1:12)),))</f>
        <v>41853</v>
      </c>
      <c r="D25" s="351" t="str">
        <f ca="1">IF(ROWS($1:12)&gt;COUNT(Dong11),"",OFFSET(TH!H$1,SMALL(Dong11,ROWS($1:12)),))</f>
        <v>Cty Giấy &amp; Bao Bì Đồng Tiến -CN Bình Dương</v>
      </c>
      <c r="E25" s="349" t="str">
        <f ca="1">IF(ROWS($1:12)&gt;COUNT(Dong11),"",IF(OFFSET(TH!L$1,SMALL(Dong11,ROWS($1:12)),)=$G$7,OFFSET(TH!M$1,SMALL(Dong11,ROWS($1:12)),),OFFSET(TH!L$1,SMALL(Dong11,ROWS($1:12)),)))</f>
        <v>331</v>
      </c>
      <c r="F25" s="352">
        <f ca="1">IF(ROWS($1:12)&gt;COUNT(Dong11),0,OFFSET(TH!J$1,SMALL(Dong11,ROWS($1:12)),))</f>
        <v>9000</v>
      </c>
      <c r="G25" s="352">
        <f ca="1">IF(ROWS($1:12)&gt;COUNT(Dong11),0,IF(MID(OFFSET(TH!D$1,SMALL(Dong11,ROWS($1:12)),),4,1)="N",OFFSET(TH!I$1,SMALL(Dong11,ROWS($1:12)),),0))</f>
        <v>1320</v>
      </c>
      <c r="H25" s="353">
        <f t="shared" ca="1" si="1"/>
        <v>11880000</v>
      </c>
      <c r="I25" s="352">
        <f ca="1">IF(ROWS($1:12)&gt;COUNT(Dong11),0,IF(MID(OFFSET(TH!D$1,SMALL(Dong11,ROWS($1:12)),),4,1)="X",OFFSET(TH!I$1,SMALL(Dong11,ROWS($1:12)),),0))</f>
        <v>0</v>
      </c>
      <c r="J25" s="353">
        <f t="shared" ca="1" si="2"/>
        <v>0</v>
      </c>
      <c r="K25" s="353">
        <f t="shared" ca="1" si="3"/>
        <v>86127</v>
      </c>
      <c r="L25" s="353">
        <f t="shared" ca="1" si="4"/>
        <v>702813600</v>
      </c>
      <c r="M25" s="353"/>
      <c r="N25" s="343"/>
    </row>
    <row r="26" spans="1:16" hidden="1">
      <c r="A26" s="314">
        <f t="shared" ca="1" si="0"/>
        <v>13</v>
      </c>
      <c r="B26" s="349" t="str">
        <f ca="1">IF(ROWS($1:13)&gt;COUNT(Dong11),"",OFFSET(TH!D$1,SMALL(Dong11,ROWS($1:13)),))</f>
        <v>NL/N20</v>
      </c>
      <c r="C26" s="350">
        <f ca="1">IF(ROWS($1:13)&gt;COUNT(Dong11),"",OFFSET(TH!E$1,SMALL(Dong11,ROWS($1:13)),))</f>
        <v>41858</v>
      </c>
      <c r="D26" s="351" t="str">
        <f ca="1">IF(ROWS($1:13)&gt;COUNT(Dong11),"",OFFSET(TH!H$1,SMALL(Dong11,ROWS($1:13)),))</f>
        <v>Cty Giấy &amp; Bao Bì Đồng Tiến -CN Bình Dương</v>
      </c>
      <c r="E26" s="349" t="str">
        <f ca="1">IF(ROWS($1:13)&gt;COUNT(Dong11),"",IF(OFFSET(TH!L$1,SMALL(Dong11,ROWS($1:13)),)=$G$7,OFFSET(TH!M$1,SMALL(Dong11,ROWS($1:13)),),OFFSET(TH!L$1,SMALL(Dong11,ROWS($1:13)),)))</f>
        <v>331</v>
      </c>
      <c r="F26" s="352">
        <f ca="1">IF(ROWS($1:13)&gt;COUNT(Dong11),0,OFFSET(TH!J$1,SMALL(Dong11,ROWS($1:13)),))</f>
        <v>9200</v>
      </c>
      <c r="G26" s="352">
        <f ca="1">IF(ROWS($1:13)&gt;COUNT(Dong11),0,IF(MID(OFFSET(TH!D$1,SMALL(Dong11,ROWS($1:13)),),4,1)="N",OFFSET(TH!I$1,SMALL(Dong11,ROWS($1:13)),),0))</f>
        <v>4253</v>
      </c>
      <c r="H26" s="353">
        <f t="shared" ca="1" si="1"/>
        <v>39127600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2"/>
        <v>0</v>
      </c>
      <c r="K26" s="353">
        <f t="shared" ca="1" si="3"/>
        <v>90380</v>
      </c>
      <c r="L26" s="353">
        <f t="shared" ca="1" si="4"/>
        <v>741941200</v>
      </c>
      <c r="M26" s="353"/>
      <c r="N26" s="343"/>
    </row>
    <row r="27" spans="1:16" hidden="1">
      <c r="A27" s="314">
        <f t="shared" ca="1" si="0"/>
        <v>14</v>
      </c>
      <c r="B27" s="349" t="str">
        <f ca="1">IF(ROWS($1:14)&gt;COUNT(Dong11),"",OFFSET(TH!D$1,SMALL(Dong11,ROWS($1:14)),))</f>
        <v>NL/N22</v>
      </c>
      <c r="C27" s="350">
        <f ca="1">IF(ROWS($1:14)&gt;COUNT(Dong11),"",OFFSET(TH!E$1,SMALL(Dong11,ROWS($1:14)),))</f>
        <v>41864</v>
      </c>
      <c r="D27" s="351" t="str">
        <f ca="1">IF(ROWS($1:14)&gt;COUNT(Dong11),"",OFFSET(TH!H$1,SMALL(Dong11,ROWS($1:14)),))</f>
        <v>Cty Giấy &amp; Bao Bì Đồng Tiến -CN Bình Dương</v>
      </c>
      <c r="E27" s="349" t="str">
        <f ca="1">IF(ROWS($1:14)&gt;COUNT(Dong11),"",IF(OFFSET(TH!L$1,SMALL(Dong11,ROWS($1:14)),)=$G$7,OFFSET(TH!M$1,SMALL(Dong11,ROWS($1:14)),),OFFSET(TH!L$1,SMALL(Dong11,ROWS($1:14)),)))</f>
        <v>331</v>
      </c>
      <c r="F27" s="352">
        <f ca="1">IF(ROWS($1:14)&gt;COUNT(Dong11),0,OFFSET(TH!J$1,SMALL(Dong11,ROWS($1:14)),))</f>
        <v>9200</v>
      </c>
      <c r="G27" s="352">
        <f ca="1">IF(ROWS($1:14)&gt;COUNT(Dong11),0,IF(MID(OFFSET(TH!D$1,SMALL(Dong11,ROWS($1:14)),),4,1)="N",OFFSET(TH!I$1,SMALL(Dong11,ROWS($1:14)),),0))</f>
        <v>3430</v>
      </c>
      <c r="H27" s="353">
        <f t="shared" ca="1" si="1"/>
        <v>31556000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2"/>
        <v>0</v>
      </c>
      <c r="K27" s="353">
        <f t="shared" ca="1" si="3"/>
        <v>93810</v>
      </c>
      <c r="L27" s="353">
        <f t="shared" ca="1" si="4"/>
        <v>773497200</v>
      </c>
      <c r="M27" s="353"/>
      <c r="N27" s="343"/>
    </row>
    <row r="28" spans="1:16" hidden="1">
      <c r="A28" s="314">
        <f t="shared" ca="1" si="0"/>
        <v>15</v>
      </c>
      <c r="B28" s="349" t="str">
        <f ca="1">IF(ROWS($1:15)&gt;COUNT(Dong11),"",OFFSET(TH!D$1,SMALL(Dong11,ROWS($1:15)),))</f>
        <v>NL/N23</v>
      </c>
      <c r="C28" s="350">
        <f ca="1">IF(ROWS($1:15)&gt;COUNT(Dong11),"",OFFSET(TH!E$1,SMALL(Dong11,ROWS($1:15)),))</f>
        <v>41900</v>
      </c>
      <c r="D28" s="351" t="str">
        <f ca="1">IF(ROWS($1:15)&gt;COUNT(Dong11),"",OFFSET(TH!H$1,SMALL(Dong11,ROWS($1:15)),))</f>
        <v>Cty TNHH Giấy Minh Đạt</v>
      </c>
      <c r="E28" s="349" t="str">
        <f ca="1">IF(ROWS($1:15)&gt;COUNT(Dong11),"",IF(OFFSET(TH!L$1,SMALL(Dong11,ROWS($1:15)),)=$G$7,OFFSET(TH!M$1,SMALL(Dong11,ROWS($1:15)),),OFFSET(TH!L$1,SMALL(Dong11,ROWS($1:15)),)))</f>
        <v>331</v>
      </c>
      <c r="F28" s="352">
        <f ca="1">IF(ROWS($1:15)&gt;COUNT(Dong11),0,OFFSET(TH!J$1,SMALL(Dong11,ROWS($1:15)),))</f>
        <v>7600</v>
      </c>
      <c r="G28" s="352">
        <f ca="1">IF(ROWS($1:15)&gt;COUNT(Dong11),0,IF(MID(OFFSET(TH!D$1,SMALL(Dong11,ROWS($1:15)),),4,1)="N",OFFSET(TH!I$1,SMALL(Dong11,ROWS($1:15)),),0))</f>
        <v>5276</v>
      </c>
      <c r="H28" s="353">
        <f t="shared" ca="1" si="1"/>
        <v>40097600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2"/>
        <v>0</v>
      </c>
      <c r="K28" s="353">
        <f t="shared" ca="1" si="3"/>
        <v>99086</v>
      </c>
      <c r="L28" s="353">
        <f t="shared" ca="1" si="4"/>
        <v>813594800</v>
      </c>
      <c r="M28" s="353"/>
      <c r="N28" s="343"/>
    </row>
    <row r="29" spans="1:16" hidden="1">
      <c r="A29" s="314">
        <f t="shared" ca="1" si="0"/>
        <v>16</v>
      </c>
      <c r="B29" s="349" t="str">
        <f ca="1">IF(ROWS($1:16)&gt;COUNT(Dong11),"",OFFSET(TH!D$1,SMALL(Dong11,ROWS($1:16)),))</f>
        <v>NL/N01</v>
      </c>
      <c r="C29" s="350">
        <f ca="1">IF(ROWS($1:16)&gt;COUNT(Dong11),"",OFFSET(TH!E$1,SMALL(Dong11,ROWS($1:16)),))</f>
        <v>41928</v>
      </c>
      <c r="D29" s="351" t="str">
        <f ca="1">IF(ROWS($1:16)&gt;COUNT(Dong11),"",OFFSET(TH!H$1,SMALL(Dong11,ROWS($1:16)),))</f>
        <v>Cty MTV SX TM Giấy Đăng Hòa</v>
      </c>
      <c r="E29" s="349" t="str">
        <f ca="1">IF(ROWS($1:16)&gt;COUNT(Dong11),"",IF(OFFSET(TH!L$1,SMALL(Dong11,ROWS($1:16)),)=$G$7,OFFSET(TH!M$1,SMALL(Dong11,ROWS($1:16)),),OFFSET(TH!L$1,SMALL(Dong11,ROWS($1:16)),)))</f>
        <v>331</v>
      </c>
      <c r="F29" s="352">
        <f ca="1">IF(ROWS($1:16)&gt;COUNT(Dong11),0,OFFSET(TH!J$1,SMALL(Dong11,ROWS($1:16)),))</f>
        <v>7200</v>
      </c>
      <c r="G29" s="352">
        <f ca="1">IF(ROWS($1:16)&gt;COUNT(Dong11),0,IF(MID(OFFSET(TH!D$1,SMALL(Dong11,ROWS($1:16)),),4,1)="N",OFFSET(TH!I$1,SMALL(Dong11,ROWS($1:16)),),0))</f>
        <v>2160</v>
      </c>
      <c r="H29" s="353">
        <f t="shared" ca="1" si="1"/>
        <v>15552000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2"/>
        <v>0</v>
      </c>
      <c r="K29" s="353">
        <f t="shared" ca="1" si="3"/>
        <v>101246</v>
      </c>
      <c r="L29" s="353">
        <f t="shared" ca="1" si="4"/>
        <v>829146800</v>
      </c>
      <c r="M29" s="353"/>
      <c r="N29" s="343"/>
    </row>
    <row r="30" spans="1:16" hidden="1">
      <c r="A30" s="314">
        <f t="shared" ca="1" si="0"/>
        <v>17</v>
      </c>
      <c r="B30" s="349" t="str">
        <f ca="1">IF(ROWS($1:17)&gt;COUNT(Dong11),"",OFFSET(TH!D$1,SMALL(Dong11,ROWS($1:17)),))</f>
        <v>NL/N02</v>
      </c>
      <c r="C30" s="350">
        <f ca="1">IF(ROWS($1:17)&gt;COUNT(Dong11),"",OFFSET(TH!E$1,SMALL(Dong11,ROWS($1:17)),))</f>
        <v>41941</v>
      </c>
      <c r="D30" s="351" t="str">
        <f ca="1">IF(ROWS($1:17)&gt;COUNT(Dong11),"",OFFSET(TH!H$1,SMALL(Dong11,ROWS($1:17)),))</f>
        <v>Cty MTV SX TM Giấy Đăng Hòa</v>
      </c>
      <c r="E30" s="349" t="str">
        <f ca="1">IF(ROWS($1:17)&gt;COUNT(Dong11),"",IF(OFFSET(TH!L$1,SMALL(Dong11,ROWS($1:17)),)=$G$7,OFFSET(TH!M$1,SMALL(Dong11,ROWS($1:17)),),OFFSET(TH!L$1,SMALL(Dong11,ROWS($1:17)),)))</f>
        <v>331</v>
      </c>
      <c r="F30" s="352">
        <f ca="1">IF(ROWS($1:17)&gt;COUNT(Dong11),0,OFFSET(TH!J$1,SMALL(Dong11,ROWS($1:17)),))</f>
        <v>7200</v>
      </c>
      <c r="G30" s="352">
        <f ca="1">IF(ROWS($1:17)&gt;COUNT(Dong11),0,IF(MID(OFFSET(TH!D$1,SMALL(Dong11,ROWS($1:17)),),4,1)="N",OFFSET(TH!I$1,SMALL(Dong11,ROWS($1:17)),),0))</f>
        <v>2342</v>
      </c>
      <c r="H30" s="353">
        <f t="shared" ca="1" si="1"/>
        <v>16862400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2"/>
        <v>0</v>
      </c>
      <c r="K30" s="353">
        <f t="shared" ca="1" si="3"/>
        <v>103588</v>
      </c>
      <c r="L30" s="353">
        <f t="shared" ca="1" si="4"/>
        <v>846009200</v>
      </c>
      <c r="M30" s="353"/>
      <c r="N30" s="343"/>
    </row>
    <row r="31" spans="1:16" hidden="1">
      <c r="A31" s="314">
        <f t="shared" ca="1" si="0"/>
        <v>18</v>
      </c>
      <c r="B31" s="349" t="str">
        <f ca="1">IF(ROWS($1:18)&gt;COUNT(Dong11),"",OFFSET(TH!D$1,SMALL(Dong11,ROWS($1:18)),))</f>
        <v>NL/N03</v>
      </c>
      <c r="C31" s="350">
        <f ca="1">IF(ROWS($1:18)&gt;COUNT(Dong11),"",OFFSET(TH!E$1,SMALL(Dong11,ROWS($1:18)),))</f>
        <v>41946</v>
      </c>
      <c r="D31" s="351" t="str">
        <f ca="1">IF(ROWS($1:18)&gt;COUNT(Dong11),"",OFFSET(TH!H$1,SMALL(Dong11,ROWS($1:18)),))</f>
        <v>Cty TNHH Giấy Minh Đạt</v>
      </c>
      <c r="E31" s="349" t="str">
        <f ca="1">IF(ROWS($1:18)&gt;COUNT(Dong11),"",IF(OFFSET(TH!L$1,SMALL(Dong11,ROWS($1:18)),)=$G$7,OFFSET(TH!M$1,SMALL(Dong11,ROWS($1:18)),),OFFSET(TH!L$1,SMALL(Dong11,ROWS($1:18)),)))</f>
        <v>331</v>
      </c>
      <c r="F31" s="352">
        <f ca="1">IF(ROWS($1:18)&gt;COUNT(Dong11),0,OFFSET(TH!J$1,SMALL(Dong11,ROWS($1:18)),))</f>
        <v>7800</v>
      </c>
      <c r="G31" s="352">
        <f ca="1">IF(ROWS($1:18)&gt;COUNT(Dong11),0,IF(MID(OFFSET(TH!D$1,SMALL(Dong11,ROWS($1:18)),),4,1)="N",OFFSET(TH!I$1,SMALL(Dong11,ROWS($1:18)),),0))</f>
        <v>2300</v>
      </c>
      <c r="H31" s="353">
        <f t="shared" ca="1" si="1"/>
        <v>17940000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2"/>
        <v>0</v>
      </c>
      <c r="K31" s="353">
        <f t="shared" ca="1" si="3"/>
        <v>105888</v>
      </c>
      <c r="L31" s="353">
        <f t="shared" ca="1" si="4"/>
        <v>863949200</v>
      </c>
      <c r="M31" s="353"/>
      <c r="N31" s="343"/>
    </row>
    <row r="32" spans="1:16" hidden="1">
      <c r="A32" s="314">
        <f t="shared" ca="1" si="0"/>
        <v>19</v>
      </c>
      <c r="B32" s="349" t="str">
        <f ca="1">IF(ROWS($1:19)&gt;COUNT(Dong11),"",OFFSET(TH!D$1,SMALL(Dong11,ROWS($1:19)),))</f>
        <v>NL/N04</v>
      </c>
      <c r="C32" s="350">
        <f ca="1">IF(ROWS($1:19)&gt;COUNT(Dong11),"",OFFSET(TH!E$1,SMALL(Dong11,ROWS($1:19)),))</f>
        <v>41949</v>
      </c>
      <c r="D32" s="351" t="str">
        <f ca="1">IF(ROWS($1:19)&gt;COUNT(Dong11),"",OFFSET(TH!H$1,SMALL(Dong11,ROWS($1:19)),))</f>
        <v>Cty TNHH Giấy Minh Đạt</v>
      </c>
      <c r="E32" s="349" t="str">
        <f ca="1">IF(ROWS($1:19)&gt;COUNT(Dong11),"",IF(OFFSET(TH!L$1,SMALL(Dong11,ROWS($1:19)),)=$G$7,OFFSET(TH!M$1,SMALL(Dong11,ROWS($1:19)),),OFFSET(TH!L$1,SMALL(Dong11,ROWS($1:19)),)))</f>
        <v>331</v>
      </c>
      <c r="F32" s="352">
        <f ca="1">IF(ROWS($1:19)&gt;COUNT(Dong11),0,OFFSET(TH!J$1,SMALL(Dong11,ROWS($1:19)),))</f>
        <v>7800</v>
      </c>
      <c r="G32" s="352">
        <f ca="1">IF(ROWS($1:19)&gt;COUNT(Dong11),0,IF(MID(OFFSET(TH!D$1,SMALL(Dong11,ROWS($1:19)),),4,1)="N",OFFSET(TH!I$1,SMALL(Dong11,ROWS($1:19)),),0))</f>
        <v>2220</v>
      </c>
      <c r="H32" s="353">
        <f t="shared" ca="1" si="1"/>
        <v>17316000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2"/>
        <v>0</v>
      </c>
      <c r="K32" s="353">
        <f t="shared" ca="1" si="3"/>
        <v>108108</v>
      </c>
      <c r="L32" s="353">
        <f t="shared" ca="1" si="4"/>
        <v>881265200</v>
      </c>
      <c r="M32" s="353"/>
      <c r="N32" s="343"/>
    </row>
    <row r="33" spans="1:14" hidden="1">
      <c r="A33" s="314">
        <f t="shared" ca="1" si="0"/>
        <v>20</v>
      </c>
      <c r="B33" s="349" t="str">
        <f ca="1">IF(ROWS($1:20)&gt;COUNT(Dong11),"",OFFSET(TH!D$1,SMALL(Dong11,ROWS($1:20)),))</f>
        <v>NL/N05</v>
      </c>
      <c r="C33" s="350">
        <f ca="1">IF(ROWS($1:20)&gt;COUNT(Dong11),"",OFFSET(TH!E$1,SMALL(Dong11,ROWS($1:20)),))</f>
        <v>41951</v>
      </c>
      <c r="D33" s="351" t="str">
        <f ca="1">IF(ROWS($1:20)&gt;COUNT(Dong11),"",OFFSET(TH!H$1,SMALL(Dong11,ROWS($1:20)),))</f>
        <v>Cty TNHH Giấy Minh Đạt</v>
      </c>
      <c r="E33" s="349" t="str">
        <f ca="1">IF(ROWS($1:20)&gt;COUNT(Dong11),"",IF(OFFSET(TH!L$1,SMALL(Dong11,ROWS($1:20)),)=$G$7,OFFSET(TH!M$1,SMALL(Dong11,ROWS($1:20)),),OFFSET(TH!L$1,SMALL(Dong11,ROWS($1:20)),)))</f>
        <v>331</v>
      </c>
      <c r="F33" s="352">
        <f ca="1">IF(ROWS($1:20)&gt;COUNT(Dong11),0,OFFSET(TH!J$1,SMALL(Dong11,ROWS($1:20)),))</f>
        <v>7800</v>
      </c>
      <c r="G33" s="352">
        <f ca="1">IF(ROWS($1:20)&gt;COUNT(Dong11),0,IF(MID(OFFSET(TH!D$1,SMALL(Dong11,ROWS($1:20)),),4,1)="N",OFFSET(TH!I$1,SMALL(Dong11,ROWS($1:20)),),0))</f>
        <v>1850</v>
      </c>
      <c r="H33" s="353">
        <f t="shared" ca="1" si="1"/>
        <v>14430000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2"/>
        <v>0</v>
      </c>
      <c r="K33" s="353">
        <f t="shared" ca="1" si="3"/>
        <v>109958</v>
      </c>
      <c r="L33" s="353">
        <f t="shared" ca="1" si="4"/>
        <v>895695200</v>
      </c>
      <c r="M33" s="353"/>
      <c r="N33" s="343"/>
    </row>
    <row r="34" spans="1:14" hidden="1">
      <c r="A34" s="314">
        <f t="shared" ca="1" si="0"/>
        <v>21</v>
      </c>
      <c r="B34" s="349" t="str">
        <f ca="1">IF(ROWS($1:21)&gt;COUNT(Dong11),"",OFFSET(TH!D$1,SMALL(Dong11,ROWS($1:21)),))</f>
        <v>NL/N06</v>
      </c>
      <c r="C34" s="350">
        <f ca="1">IF(ROWS($1:21)&gt;COUNT(Dong11),"",OFFSET(TH!E$1,SMALL(Dong11,ROWS($1:21)),))</f>
        <v>41963</v>
      </c>
      <c r="D34" s="351" t="str">
        <f ca="1">IF(ROWS($1:21)&gt;COUNT(Dong11),"",OFFSET(TH!H$1,SMALL(Dong11,ROWS($1:21)),))</f>
        <v>Cty TNHH Giấy Minh Đạt</v>
      </c>
      <c r="E34" s="349" t="str">
        <f ca="1">IF(ROWS($1:21)&gt;COUNT(Dong11),"",IF(OFFSET(TH!L$1,SMALL(Dong11,ROWS($1:21)),)=$G$7,OFFSET(TH!M$1,SMALL(Dong11,ROWS($1:21)),),OFFSET(TH!L$1,SMALL(Dong11,ROWS($1:21)),)))</f>
        <v>331</v>
      </c>
      <c r="F34" s="352">
        <f ca="1">IF(ROWS($1:21)&gt;COUNT(Dong11),0,OFFSET(TH!J$1,SMALL(Dong11,ROWS($1:21)),))</f>
        <v>7800</v>
      </c>
      <c r="G34" s="352">
        <f ca="1">IF(ROWS($1:21)&gt;COUNT(Dong11),0,IF(MID(OFFSET(TH!D$1,SMALL(Dong11,ROWS($1:21)),),4,1)="N",OFFSET(TH!I$1,SMALL(Dong11,ROWS($1:21)),),0))</f>
        <v>17859</v>
      </c>
      <c r="H34" s="353">
        <f t="shared" ca="1" si="1"/>
        <v>139300200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2"/>
        <v>0</v>
      </c>
      <c r="K34" s="353">
        <f t="shared" ca="1" si="3"/>
        <v>127817</v>
      </c>
      <c r="L34" s="353">
        <f t="shared" ca="1" si="4"/>
        <v>1034995400</v>
      </c>
      <c r="M34" s="353"/>
      <c r="N34" s="343"/>
    </row>
    <row r="35" spans="1:14" hidden="1">
      <c r="A35" s="314">
        <f t="shared" ca="1" si="0"/>
        <v>22</v>
      </c>
      <c r="B35" s="349" t="str">
        <f ca="1">IF(ROWS($1:22)&gt;COUNT(Dong11),"",OFFSET(TH!D$1,SMALL(Dong11,ROWS($1:22)),))</f>
        <v>NL/N07</v>
      </c>
      <c r="C35" s="350">
        <f ca="1">IF(ROWS($1:22)&gt;COUNT(Dong11),"",OFFSET(TH!E$1,SMALL(Dong11,ROWS($1:22)),))</f>
        <v>41977</v>
      </c>
      <c r="D35" s="351" t="str">
        <f ca="1">IF(ROWS($1:22)&gt;COUNT(Dong11),"",OFFSET(TH!H$1,SMALL(Dong11,ROWS($1:22)),))</f>
        <v>Cty MTV SX TM Giấy Đăng Hòa</v>
      </c>
      <c r="E35" s="349" t="str">
        <f ca="1">IF(ROWS($1:22)&gt;COUNT(Dong11),"",IF(OFFSET(TH!L$1,SMALL(Dong11,ROWS($1:22)),)=$G$7,OFFSET(TH!M$1,SMALL(Dong11,ROWS($1:22)),),OFFSET(TH!L$1,SMALL(Dong11,ROWS($1:22)),)))</f>
        <v>331</v>
      </c>
      <c r="F35" s="352">
        <f ca="1">IF(ROWS($1:22)&gt;COUNT(Dong11),0,OFFSET(TH!J$1,SMALL(Dong11,ROWS($1:22)),))</f>
        <v>7300</v>
      </c>
      <c r="G35" s="352">
        <f ca="1">IF(ROWS($1:22)&gt;COUNT(Dong11),0,IF(MID(OFFSET(TH!D$1,SMALL(Dong11,ROWS($1:22)),),4,1)="N",OFFSET(TH!I$1,SMALL(Dong11,ROWS($1:22)),),0))</f>
        <v>2322</v>
      </c>
      <c r="H35" s="353">
        <f t="shared" ca="1" si="1"/>
        <v>16950600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2"/>
        <v>0</v>
      </c>
      <c r="K35" s="353">
        <f t="shared" ca="1" si="3"/>
        <v>130139</v>
      </c>
      <c r="L35" s="353">
        <f t="shared" ca="1" si="4"/>
        <v>1051946000</v>
      </c>
      <c r="M35" s="353"/>
      <c r="N35" s="343"/>
    </row>
    <row r="36" spans="1:14" hidden="1">
      <c r="A36" s="314">
        <f t="shared" ca="1" si="0"/>
        <v>23</v>
      </c>
      <c r="B36" s="349" t="str">
        <f ca="1">IF(ROWS($1:23)&gt;COUNT(Dong11),"",OFFSET(TH!D$1,SMALL(Dong11,ROWS($1:23)),))</f>
        <v>NL/N08</v>
      </c>
      <c r="C36" s="350">
        <f ca="1">IF(ROWS($1:23)&gt;COUNT(Dong11),"",OFFSET(TH!E$1,SMALL(Dong11,ROWS($1:23)),))</f>
        <v>41982</v>
      </c>
      <c r="D36" s="351" t="str">
        <f ca="1">IF(ROWS($1:23)&gt;COUNT(Dong11),"",OFFSET(TH!H$1,SMALL(Dong11,ROWS($1:23)),))</f>
        <v>Cty MTV SX TM Giấy Đăng Hòa</v>
      </c>
      <c r="E36" s="349" t="str">
        <f ca="1">IF(ROWS($1:23)&gt;COUNT(Dong11),"",IF(OFFSET(TH!L$1,SMALL(Dong11,ROWS($1:23)),)=$G$7,OFFSET(TH!M$1,SMALL(Dong11,ROWS($1:23)),),OFFSET(TH!L$1,SMALL(Dong11,ROWS($1:23)),)))</f>
        <v>331</v>
      </c>
      <c r="F36" s="352">
        <f ca="1">IF(ROWS($1:23)&gt;COUNT(Dong11),0,OFFSET(TH!J$1,SMALL(Dong11,ROWS($1:23)),))</f>
        <v>7300</v>
      </c>
      <c r="G36" s="352">
        <f ca="1">IF(ROWS($1:23)&gt;COUNT(Dong11),0,IF(MID(OFFSET(TH!D$1,SMALL(Dong11,ROWS($1:23)),),4,1)="N",OFFSET(TH!I$1,SMALL(Dong11,ROWS($1:23)),),0))</f>
        <v>2399</v>
      </c>
      <c r="H36" s="353">
        <f t="shared" ca="1" si="1"/>
        <v>17512700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2"/>
        <v>0</v>
      </c>
      <c r="K36" s="353">
        <f t="shared" ca="1" si="3"/>
        <v>132538</v>
      </c>
      <c r="L36" s="353">
        <f t="shared" ca="1" si="4"/>
        <v>1069458700</v>
      </c>
      <c r="M36" s="353"/>
      <c r="N36" s="343"/>
    </row>
    <row r="37" spans="1:14" hidden="1">
      <c r="A37" s="314">
        <f t="shared" ca="1" si="0"/>
        <v>24</v>
      </c>
      <c r="B37" s="349" t="str">
        <f ca="1">IF(ROWS($1:24)&gt;COUNT(Dong11),"",OFFSET(TH!D$1,SMALL(Dong11,ROWS($1:24)),))</f>
        <v>NL/N09</v>
      </c>
      <c r="C37" s="350">
        <f ca="1">IF(ROWS($1:24)&gt;COUNT(Dong11),"",OFFSET(TH!E$1,SMALL(Dong11,ROWS($1:24)),))</f>
        <v>41986</v>
      </c>
      <c r="D37" s="351" t="str">
        <f ca="1">IF(ROWS($1:24)&gt;COUNT(Dong11),"",OFFSET(TH!H$1,SMALL(Dong11,ROWS($1:24)),))</f>
        <v>Cty MTV SX TM Giấy Đăng Hòa</v>
      </c>
      <c r="E37" s="349" t="str">
        <f ca="1">IF(ROWS($1:24)&gt;COUNT(Dong11),"",IF(OFFSET(TH!L$1,SMALL(Dong11,ROWS($1:24)),)=$G$7,OFFSET(TH!M$1,SMALL(Dong11,ROWS($1:24)),),OFFSET(TH!L$1,SMALL(Dong11,ROWS($1:24)),)))</f>
        <v>331</v>
      </c>
      <c r="F37" s="352">
        <f ca="1">IF(ROWS($1:24)&gt;COUNT(Dong11),0,OFFSET(TH!J$1,SMALL(Dong11,ROWS($1:24)),))</f>
        <v>7300</v>
      </c>
      <c r="G37" s="352">
        <f ca="1">IF(ROWS($1:24)&gt;COUNT(Dong11),0,IF(MID(OFFSET(TH!D$1,SMALL(Dong11,ROWS($1:24)),),4,1)="N",OFFSET(TH!I$1,SMALL(Dong11,ROWS($1:24)),),0))</f>
        <v>2159</v>
      </c>
      <c r="H37" s="353">
        <f t="shared" ca="1" si="1"/>
        <v>15760700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2"/>
        <v>0</v>
      </c>
      <c r="K37" s="353">
        <f t="shared" ca="1" si="3"/>
        <v>134697</v>
      </c>
      <c r="L37" s="353">
        <f t="shared" ca="1" si="4"/>
        <v>1085219400</v>
      </c>
      <c r="M37" s="353"/>
      <c r="N37" s="343"/>
    </row>
    <row r="38" spans="1:14" hidden="1">
      <c r="A38" s="314">
        <f t="shared" ca="1" si="0"/>
        <v>25</v>
      </c>
      <c r="B38" s="349" t="str">
        <f ca="1">IF(ROWS($1:25)&gt;COUNT(Dong11),"",OFFSET(TH!D$1,SMALL(Dong11,ROWS($1:25)),))</f>
        <v>NL/N10</v>
      </c>
      <c r="C38" s="350">
        <f ca="1">IF(ROWS($1:25)&gt;COUNT(Dong11),"",OFFSET(TH!E$1,SMALL(Dong11,ROWS($1:25)),))</f>
        <v>41988</v>
      </c>
      <c r="D38" s="351" t="str">
        <f ca="1">IF(ROWS($1:25)&gt;COUNT(Dong11),"",OFFSET(TH!H$1,SMALL(Dong11,ROWS($1:25)),))</f>
        <v>Cty TNHH Giấy Minh Đạt</v>
      </c>
      <c r="E38" s="349" t="str">
        <f ca="1">IF(ROWS($1:25)&gt;COUNT(Dong11),"",IF(OFFSET(TH!L$1,SMALL(Dong11,ROWS($1:25)),)=$G$7,OFFSET(TH!M$1,SMALL(Dong11,ROWS($1:25)),),OFFSET(TH!L$1,SMALL(Dong11,ROWS($1:25)),)))</f>
        <v>331</v>
      </c>
      <c r="F38" s="352">
        <f ca="1">IF(ROWS($1:25)&gt;COUNT(Dong11),0,OFFSET(TH!J$1,SMALL(Dong11,ROWS($1:25)),))</f>
        <v>7800</v>
      </c>
      <c r="G38" s="352">
        <f ca="1">IF(ROWS($1:25)&gt;COUNT(Dong11),0,IF(MID(OFFSET(TH!D$1,SMALL(Dong11,ROWS($1:25)),),4,1)="N",OFFSET(TH!I$1,SMALL(Dong11,ROWS($1:25)),),0))</f>
        <v>16434</v>
      </c>
      <c r="H38" s="353">
        <f t="shared" ca="1" si="1"/>
        <v>128185200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2"/>
        <v>0</v>
      </c>
      <c r="K38" s="353">
        <f t="shared" ca="1" si="3"/>
        <v>151131</v>
      </c>
      <c r="L38" s="353">
        <f t="shared" ca="1" si="4"/>
        <v>1213404600</v>
      </c>
      <c r="M38" s="353"/>
      <c r="N38" s="343"/>
    </row>
    <row r="39" spans="1:14" hidden="1">
      <c r="A39" s="314">
        <f t="shared" ca="1" si="0"/>
        <v>26</v>
      </c>
      <c r="B39" s="349" t="str">
        <f ca="1">IF(ROWS($1:26)&gt;COUNT(Dong11),"",OFFSET(TH!D$1,SMALL(Dong11,ROWS($1:26)),))</f>
        <v>NL/N11</v>
      </c>
      <c r="C39" s="350">
        <f ca="1">IF(ROWS($1:26)&gt;COUNT(Dong11),"",OFFSET(TH!E$1,SMALL(Dong11,ROWS($1:26)),))</f>
        <v>41992</v>
      </c>
      <c r="D39" s="351" t="str">
        <f ca="1">IF(ROWS($1:26)&gt;COUNT(Dong11),"",OFFSET(TH!H$1,SMALL(Dong11,ROWS($1:26)),))</f>
        <v>Cty MTV SX TM Giấy Đăng Hòa</v>
      </c>
      <c r="E39" s="349" t="str">
        <f ca="1">IF(ROWS($1:26)&gt;COUNT(Dong11),"",IF(OFFSET(TH!L$1,SMALL(Dong11,ROWS($1:26)),)=$G$7,OFFSET(TH!M$1,SMALL(Dong11,ROWS($1:26)),),OFFSET(TH!L$1,SMALL(Dong11,ROWS($1:26)),)))</f>
        <v>331</v>
      </c>
      <c r="F39" s="352">
        <f ca="1">IF(ROWS($1:26)&gt;COUNT(Dong11),0,OFFSET(TH!J$1,SMALL(Dong11,ROWS($1:26)),))</f>
        <v>7300</v>
      </c>
      <c r="G39" s="352">
        <f ca="1">IF(ROWS($1:26)&gt;COUNT(Dong11),0,IF(MID(OFFSET(TH!D$1,SMALL(Dong11,ROWS($1:26)),),4,1)="N",OFFSET(TH!I$1,SMALL(Dong11,ROWS($1:26)),),0))</f>
        <v>1985</v>
      </c>
      <c r="H39" s="353">
        <f t="shared" ca="1" si="1"/>
        <v>14490500</v>
      </c>
      <c r="I39" s="352">
        <f ca="1">IF(ROWS($1:26)&gt;COUNT(Dong11),0,IF(MID(OFFSET(TH!D$1,SMALL(Dong11,ROWS($1:26)),),4,1)="X",OFFSET(TH!I$1,SMALL(Dong11,ROWS($1:26)),),0))</f>
        <v>0</v>
      </c>
      <c r="J39" s="353">
        <f t="shared" ca="1" si="2"/>
        <v>0</v>
      </c>
      <c r="K39" s="353">
        <f t="shared" ca="1" si="3"/>
        <v>153116</v>
      </c>
      <c r="L39" s="353">
        <f t="shared" ca="1" si="4"/>
        <v>1227895100</v>
      </c>
      <c r="M39" s="353"/>
      <c r="N39" s="343"/>
    </row>
    <row r="40" spans="1:14" hidden="1">
      <c r="A40" s="314">
        <f t="shared" ca="1" si="0"/>
        <v>27</v>
      </c>
      <c r="B40" s="349" t="str">
        <f ca="1">IF(ROWS($1:27)&gt;COUNT(Dong11),"",OFFSET(TH!D$1,SMALL(Dong11,ROWS($1:27)),))</f>
        <v>NL/N12</v>
      </c>
      <c r="C40" s="350">
        <f ca="1">IF(ROWS($1:27)&gt;COUNT(Dong11),"",OFFSET(TH!E$1,SMALL(Dong11,ROWS($1:27)),))</f>
        <v>41996</v>
      </c>
      <c r="D40" s="351" t="str">
        <f ca="1">IF(ROWS($1:27)&gt;COUNT(Dong11),"",OFFSET(TH!H$1,SMALL(Dong11,ROWS($1:27)),))</f>
        <v>Cty MTV SX TM Giấy Đăng Hòa</v>
      </c>
      <c r="E40" s="349" t="str">
        <f ca="1">IF(ROWS($1:27)&gt;COUNT(Dong11),"",IF(OFFSET(TH!L$1,SMALL(Dong11,ROWS($1:27)),)=$G$7,OFFSET(TH!M$1,SMALL(Dong11,ROWS($1:27)),),OFFSET(TH!L$1,SMALL(Dong11,ROWS($1:27)),)))</f>
        <v>331</v>
      </c>
      <c r="F40" s="352">
        <f ca="1">IF(ROWS($1:27)&gt;COUNT(Dong11),0,OFFSET(TH!J$1,SMALL(Dong11,ROWS($1:27)),))</f>
        <v>7300</v>
      </c>
      <c r="G40" s="352">
        <f ca="1">IF(ROWS($1:27)&gt;COUNT(Dong11),0,IF(MID(OFFSET(TH!D$1,SMALL(Dong11,ROWS($1:27)),),4,1)="N",OFFSET(TH!I$1,SMALL(Dong11,ROWS($1:27)),),0))</f>
        <v>2356</v>
      </c>
      <c r="H40" s="353">
        <f t="shared" ca="1" si="1"/>
        <v>17198800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2"/>
        <v>0</v>
      </c>
      <c r="K40" s="353">
        <f t="shared" ca="1" si="3"/>
        <v>155472</v>
      </c>
      <c r="L40" s="353">
        <f t="shared" ca="1" si="4"/>
        <v>1245093900</v>
      </c>
      <c r="M40" s="353"/>
      <c r="N40" s="343"/>
    </row>
    <row r="41" spans="1:14" hidden="1">
      <c r="A41" s="314">
        <f t="shared" ca="1" si="0"/>
        <v>28</v>
      </c>
      <c r="B41" s="349" t="str">
        <f ca="1">IF(ROWS($1:28)&gt;COUNT(Dong11),"",OFFSET(TH!D$1,SMALL(Dong11,ROWS($1:28)),))</f>
        <v>NL/N13</v>
      </c>
      <c r="C41" s="350">
        <f ca="1">IF(ROWS($1:28)&gt;COUNT(Dong11),"",OFFSET(TH!E$1,SMALL(Dong11,ROWS($1:28)),))</f>
        <v>41998</v>
      </c>
      <c r="D41" s="351" t="str">
        <f ca="1">IF(ROWS($1:28)&gt;COUNT(Dong11),"",OFFSET(TH!H$1,SMALL(Dong11,ROWS($1:28)),))</f>
        <v>Cty MTV SX TM Giấy Đăng Hòa</v>
      </c>
      <c r="E41" s="349" t="str">
        <f ca="1">IF(ROWS($1:28)&gt;COUNT(Dong11),"",IF(OFFSET(TH!L$1,SMALL(Dong11,ROWS($1:28)),)=$G$7,OFFSET(TH!M$1,SMALL(Dong11,ROWS($1:28)),),OFFSET(TH!L$1,SMALL(Dong11,ROWS($1:28)),)))</f>
        <v>331</v>
      </c>
      <c r="F41" s="352">
        <f ca="1">IF(ROWS($1:28)&gt;COUNT(Dong11),0,OFFSET(TH!J$1,SMALL(Dong11,ROWS($1:28)),))</f>
        <v>7300</v>
      </c>
      <c r="G41" s="352">
        <f ca="1">IF(ROWS($1:28)&gt;COUNT(Dong11),0,IF(MID(OFFSET(TH!D$1,SMALL(Dong11,ROWS($1:28)),),4,1)="N",OFFSET(TH!I$1,SMALL(Dong11,ROWS($1:28)),),0))</f>
        <v>2352</v>
      </c>
      <c r="H41" s="353">
        <f t="shared" ca="1" si="1"/>
        <v>17169600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2"/>
        <v>0</v>
      </c>
      <c r="K41" s="353">
        <f t="shared" ca="1" si="3"/>
        <v>157824</v>
      </c>
      <c r="L41" s="353">
        <f t="shared" ca="1" si="4"/>
        <v>1262263500</v>
      </c>
      <c r="M41" s="353"/>
      <c r="N41" s="343"/>
    </row>
    <row r="42" spans="1:14" hidden="1">
      <c r="A42" s="314">
        <f t="shared" ca="1" si="0"/>
        <v>29</v>
      </c>
      <c r="B42" s="349" t="str">
        <f ca="1">IF(ROWS($1:29)&gt;COUNT(Dong11),"",OFFSET(TH!D$1,SMALL(Dong11,ROWS($1:29)),))</f>
        <v>NL/N14</v>
      </c>
      <c r="C42" s="350">
        <f ca="1">IF(ROWS($1:29)&gt;COUNT(Dong11),"",OFFSET(TH!E$1,SMALL(Dong11,ROWS($1:29)),))</f>
        <v>42002</v>
      </c>
      <c r="D42" s="351" t="str">
        <f ca="1">IF(ROWS($1:29)&gt;COUNT(Dong11),"",OFFSET(TH!H$1,SMALL(Dong11,ROWS($1:29)),))</f>
        <v>Cty MTV SX TM Giấy Đăng Hòa</v>
      </c>
      <c r="E42" s="349" t="str">
        <f ca="1">IF(ROWS($1:29)&gt;COUNT(Dong11),"",IF(OFFSET(TH!L$1,SMALL(Dong11,ROWS($1:29)),)=$G$7,OFFSET(TH!M$1,SMALL(Dong11,ROWS($1:29)),),OFFSET(TH!L$1,SMALL(Dong11,ROWS($1:29)),)))</f>
        <v>331</v>
      </c>
      <c r="F42" s="352">
        <f ca="1">IF(ROWS($1:29)&gt;COUNT(Dong11),0,OFFSET(TH!J$1,SMALL(Dong11,ROWS($1:29)),))</f>
        <v>7300</v>
      </c>
      <c r="G42" s="352">
        <f ca="1">IF(ROWS($1:29)&gt;COUNT(Dong11),0,IF(MID(OFFSET(TH!D$1,SMALL(Dong11,ROWS($1:29)),),4,1)="N",OFFSET(TH!I$1,SMALL(Dong11,ROWS($1:29)),),0))</f>
        <v>1272</v>
      </c>
      <c r="H42" s="353">
        <f t="shared" ca="1" si="1"/>
        <v>9285600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2"/>
        <v>0</v>
      </c>
      <c r="K42" s="353">
        <f t="shared" ca="1" si="3"/>
        <v>159096</v>
      </c>
      <c r="L42" s="353">
        <f t="shared" ca="1" si="4"/>
        <v>1271549100</v>
      </c>
      <c r="M42" s="353"/>
      <c r="N42" s="343"/>
    </row>
    <row r="43" spans="1:14" hidden="1">
      <c r="A43" s="314">
        <f t="shared" ca="1" si="0"/>
        <v>30</v>
      </c>
      <c r="B43" s="349" t="str">
        <f ca="1">IF(ROWS($1:30)&gt;COUNT(Dong11),"",OFFSET(TH!D$1,SMALL(Dong11,ROWS($1:30)),))</f>
        <v>NL/N15</v>
      </c>
      <c r="C43" s="350">
        <f ca="1">IF(ROWS($1:30)&gt;COUNT(Dong11),"",OFFSET(TH!E$1,SMALL(Dong11,ROWS($1:30)),))</f>
        <v>42003</v>
      </c>
      <c r="D43" s="351" t="str">
        <f ca="1">IF(ROWS($1:30)&gt;COUNT(Dong11),"",OFFSET(TH!H$1,SMALL(Dong11,ROWS($1:30)),))</f>
        <v>Cty MTV SX TM Giấy Đăng Hòa</v>
      </c>
      <c r="E43" s="349" t="str">
        <f ca="1">IF(ROWS($1:30)&gt;COUNT(Dong11),"",IF(OFFSET(TH!L$1,SMALL(Dong11,ROWS($1:30)),)=$G$7,OFFSET(TH!M$1,SMALL(Dong11,ROWS($1:30)),),OFFSET(TH!L$1,SMALL(Dong11,ROWS($1:30)),)))</f>
        <v>331</v>
      </c>
      <c r="F43" s="352">
        <f ca="1">IF(ROWS($1:30)&gt;COUNT(Dong11),0,OFFSET(TH!J$1,SMALL(Dong11,ROWS($1:30)),))</f>
        <v>7300</v>
      </c>
      <c r="G43" s="352">
        <f ca="1">IF(ROWS($1:30)&gt;COUNT(Dong11),0,IF(MID(OFFSET(TH!D$1,SMALL(Dong11,ROWS($1:30)),),4,1)="N",OFFSET(TH!I$1,SMALL(Dong11,ROWS($1:30)),),0))</f>
        <v>2259</v>
      </c>
      <c r="H43" s="353">
        <f t="shared" ca="1" si="1"/>
        <v>16490700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2"/>
        <v>0</v>
      </c>
      <c r="K43" s="353">
        <f t="shared" ca="1" si="3"/>
        <v>161355</v>
      </c>
      <c r="L43" s="353">
        <f t="shared" ca="1" si="4"/>
        <v>1288039800</v>
      </c>
      <c r="M43" s="353"/>
      <c r="N43" s="343"/>
    </row>
    <row r="44" spans="1:14">
      <c r="A44" s="314">
        <f t="shared" ca="1" si="0"/>
        <v>31</v>
      </c>
      <c r="B44" s="349" t="str">
        <f ca="1">IF(ROWS($1:31)&gt;COUNT(Dong11),"",OFFSET(TH!D$1,SMALL(Dong11,ROWS($1:31)),))</f>
        <v>NL/X</v>
      </c>
      <c r="C44" s="350">
        <f ca="1">IF(ROWS($1:31)&gt;COUNT(Dong11),"",OFFSET(TH!E$1,SMALL(Dong11,ROWS($1:31)),))</f>
        <v>41835</v>
      </c>
      <c r="D44" s="351" t="str">
        <f ca="1">IF(ROWS($1:31)&gt;COUNT(Dong11),"",OFFSET(TH!H$1,SMALL(Dong11,ROWS($1:31)),))</f>
        <v>Xuất sản xuất</v>
      </c>
      <c r="E44" s="349" t="str">
        <f ca="1">IF(ROWS($1:31)&gt;COUNT(Dong11),"",IF(OFFSET(TH!L$1,SMALL(Dong11,ROWS($1:31)),)=$G$7,OFFSET(TH!M$1,SMALL(Dong11,ROWS($1:31)),),OFFSET(TH!L$1,SMALL(Dong11,ROWS($1:31)),)))</f>
        <v>154</v>
      </c>
      <c r="F44" s="352">
        <f ca="1">IF(ROWS($1:31)&gt;COUNT(Dong11),0,OFFSET(TH!J$1,SMALL(Dong11,ROWS($1:31)),))</f>
        <v>8500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"/>
        <v>0</v>
      </c>
      <c r="I44" s="352">
        <f ca="1">IF(ROWS($1:31)&gt;COUNT(Dong11),0,IF(MID(OFFSET(TH!D$1,SMALL(Dong11,ROWS($1:31)),),4,1)="X",OFFSET(TH!I$1,SMALL(Dong11,ROWS($1:31)),),0))</f>
        <v>10230</v>
      </c>
      <c r="J44" s="353">
        <f t="shared" ca="1" si="2"/>
        <v>86955000</v>
      </c>
      <c r="K44" s="353">
        <f t="shared" ca="1" si="3"/>
        <v>151125</v>
      </c>
      <c r="L44" s="353">
        <f t="shared" ca="1" si="4"/>
        <v>1201084800</v>
      </c>
      <c r="M44" s="353"/>
      <c r="N44" s="343"/>
    </row>
    <row r="45" spans="1:14" hidden="1">
      <c r="A45" s="314">
        <f t="shared" ca="1" si="0"/>
        <v>32</v>
      </c>
      <c r="B45" s="349" t="str">
        <f ca="1">IF(ROWS($1:32)&gt;COUNT(Dong11),"",OFFSET(TH!D$1,SMALL(Dong11,ROWS($1:32)),))</f>
        <v>NL/X</v>
      </c>
      <c r="C45" s="350">
        <f ca="1">IF(ROWS($1:32)&gt;COUNT(Dong11),"",OFFSET(TH!E$1,SMALL(Dong11,ROWS($1:32)),))</f>
        <v>41848</v>
      </c>
      <c r="D45" s="351" t="str">
        <f ca="1">IF(ROWS($1:32)&gt;COUNT(Dong11),"",OFFSET(TH!H$1,SMALL(Dong11,ROWS($1:32)),))</f>
        <v>Xuất sản xuất</v>
      </c>
      <c r="E45" s="349" t="str">
        <f ca="1">IF(ROWS($1:32)&gt;COUNT(Dong11),"",IF(OFFSET(TH!L$1,SMALL(Dong11,ROWS($1:32)),)=$G$7,OFFSET(TH!M$1,SMALL(Dong11,ROWS($1:32)),),OFFSET(TH!L$1,SMALL(Dong11,ROWS($1:32)),)))</f>
        <v>154</v>
      </c>
      <c r="F45" s="352">
        <f ca="1">IF(ROWS($1:32)&gt;COUNT(Dong11),0,OFFSET(TH!J$1,SMALL(Dong11,ROWS($1:32)),))</f>
        <v>7500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"/>
        <v>0</v>
      </c>
      <c r="I45" s="352">
        <f ca="1">IF(ROWS($1:32)&gt;COUNT(Dong11),0,IF(MID(OFFSET(TH!D$1,SMALL(Dong11,ROWS($1:32)),),4,1)="X",OFFSET(TH!I$1,SMALL(Dong11,ROWS($1:32)),),0))</f>
        <v>7379</v>
      </c>
      <c r="J45" s="353">
        <f t="shared" ca="1" si="2"/>
        <v>55342500</v>
      </c>
      <c r="K45" s="353">
        <f t="shared" ca="1" si="3"/>
        <v>143746</v>
      </c>
      <c r="L45" s="353">
        <f t="shared" ca="1" si="4"/>
        <v>1145742300</v>
      </c>
      <c r="M45" s="353"/>
      <c r="N45" s="343"/>
    </row>
    <row r="46" spans="1:14" hidden="1">
      <c r="A46" s="314">
        <f t="shared" ca="1" si="0"/>
        <v>33</v>
      </c>
      <c r="B46" s="349" t="str">
        <f ca="1">IF(ROWS($1:33)&gt;COUNT(Dong11),"",OFFSET(TH!D$1,SMALL(Dong11,ROWS($1:33)),))</f>
        <v>NL/X</v>
      </c>
      <c r="C46" s="350">
        <f ca="1">IF(ROWS($1:33)&gt;COUNT(Dong11),"",OFFSET(TH!E$1,SMALL(Dong11,ROWS($1:33)),))</f>
        <v>41852</v>
      </c>
      <c r="D46" s="351" t="str">
        <f ca="1">IF(ROWS($1:33)&gt;COUNT(Dong11),"",OFFSET(TH!H$1,SMALL(Dong11,ROWS($1:33)),))</f>
        <v>Xuất sản xuất</v>
      </c>
      <c r="E46" s="349" t="str">
        <f ca="1">IF(ROWS($1:33)&gt;COUNT(Dong11),"",IF(OFFSET(TH!L$1,SMALL(Dong11,ROWS($1:33)),)=$G$7,OFFSET(TH!M$1,SMALL(Dong11,ROWS($1:33)),),OFFSET(TH!L$1,SMALL(Dong11,ROWS($1:33)),)))</f>
        <v>154</v>
      </c>
      <c r="F46" s="352">
        <f ca="1">IF(ROWS($1:33)&gt;COUNT(Dong11),0,OFFSET(TH!J$1,SMALL(Dong11,ROWS($1:33)),))</f>
        <v>7200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"/>
        <v>0</v>
      </c>
      <c r="I46" s="352">
        <f ca="1">IF(ROWS($1:33)&gt;COUNT(Dong11),0,IF(MID(OFFSET(TH!D$1,SMALL(Dong11,ROWS($1:33)),),4,1)="X",OFFSET(TH!I$1,SMALL(Dong11,ROWS($1:33)),),0))</f>
        <v>5973</v>
      </c>
      <c r="J46" s="353">
        <f t="shared" ca="1" si="2"/>
        <v>43005600</v>
      </c>
      <c r="K46" s="353">
        <f t="shared" ca="1" si="3"/>
        <v>137773</v>
      </c>
      <c r="L46" s="353">
        <f t="shared" ca="1" si="4"/>
        <v>1102736700</v>
      </c>
      <c r="M46" s="353"/>
      <c r="N46" s="343"/>
    </row>
    <row r="47" spans="1:14">
      <c r="A47" s="314">
        <f t="shared" ca="1" si="0"/>
        <v>34</v>
      </c>
      <c r="B47" s="349" t="str">
        <f ca="1">IF(ROWS($1:34)&gt;COUNT(Dong11),"",OFFSET(TH!D$1,SMALL(Dong11,ROWS($1:34)),))</f>
        <v>NL/X</v>
      </c>
      <c r="C47" s="350">
        <f ca="1">IF(ROWS($1:34)&gt;COUNT(Dong11),"",OFFSET(TH!E$1,SMALL(Dong11,ROWS($1:34)),))</f>
        <v>41866</v>
      </c>
      <c r="D47" s="351" t="str">
        <f ca="1">IF(ROWS($1:34)&gt;COUNT(Dong11),"",OFFSET(TH!H$1,SMALL(Dong11,ROWS($1:34)),))</f>
        <v>Xuất sản xuất</v>
      </c>
      <c r="E47" s="349" t="str">
        <f ca="1">IF(ROWS($1:34)&gt;COUNT(Dong11),"",IF(OFFSET(TH!L$1,SMALL(Dong11,ROWS($1:34)),)=$G$7,OFFSET(TH!M$1,SMALL(Dong11,ROWS($1:34)),),OFFSET(TH!L$1,SMALL(Dong11,ROWS($1:34)),)))</f>
        <v>154</v>
      </c>
      <c r="F47" s="352">
        <f ca="1">IF(ROWS($1:34)&gt;COUNT(Dong11),0,OFFSET(TH!J$1,SMALL(Dong11,ROWS($1:34)),))</f>
        <v>8500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"/>
        <v>0</v>
      </c>
      <c r="I47" s="352">
        <f ca="1">IF(ROWS($1:34)&gt;COUNT(Dong11),0,IF(MID(OFFSET(TH!D$1,SMALL(Dong11,ROWS($1:34)),),4,1)="X",OFFSET(TH!I$1,SMALL(Dong11,ROWS($1:34)),),0))</f>
        <v>9665</v>
      </c>
      <c r="J47" s="353">
        <f t="shared" ca="1" si="2"/>
        <v>82152500</v>
      </c>
      <c r="K47" s="353">
        <f t="shared" ca="1" si="3"/>
        <v>128108</v>
      </c>
      <c r="L47" s="353">
        <f t="shared" ca="1" si="4"/>
        <v>1020584200</v>
      </c>
      <c r="M47" s="353"/>
      <c r="N47" s="343"/>
    </row>
    <row r="48" spans="1:14">
      <c r="A48" s="314">
        <f t="shared" ca="1" si="0"/>
        <v>35</v>
      </c>
      <c r="B48" s="349" t="str">
        <f ca="1">IF(ROWS($1:35)&gt;COUNT(Dong11),"",OFFSET(TH!D$1,SMALL(Dong11,ROWS($1:35)),))</f>
        <v>NL/X</v>
      </c>
      <c r="C48" s="350">
        <f ca="1">IF(ROWS($1:35)&gt;COUNT(Dong11),"",OFFSET(TH!E$1,SMALL(Dong11,ROWS($1:35)),))</f>
        <v>41892</v>
      </c>
      <c r="D48" s="351" t="str">
        <f ca="1">IF(ROWS($1:35)&gt;COUNT(Dong11),"",OFFSET(TH!H$1,SMALL(Dong11,ROWS($1:35)),))</f>
        <v>Xuất sản xuất</v>
      </c>
      <c r="E48" s="349" t="str">
        <f ca="1">IF(ROWS($1:35)&gt;COUNT(Dong11),"",IF(OFFSET(TH!L$1,SMALL(Dong11,ROWS($1:35)),)=$G$7,OFFSET(TH!M$1,SMALL(Dong11,ROWS($1:35)),),OFFSET(TH!L$1,SMALL(Dong11,ROWS($1:35)),)))</f>
        <v>154</v>
      </c>
      <c r="F48" s="352">
        <f ca="1">IF(ROWS($1:35)&gt;COUNT(Dong11),0,OFFSET(TH!J$1,SMALL(Dong11,ROWS($1:35)),))</f>
        <v>8500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"/>
        <v>0</v>
      </c>
      <c r="I48" s="352">
        <f ca="1">IF(ROWS($1:35)&gt;COUNT(Dong11),0,IF(MID(OFFSET(TH!D$1,SMALL(Dong11,ROWS($1:35)),),4,1)="X",OFFSET(TH!I$1,SMALL(Dong11,ROWS($1:35)),),0))</f>
        <v>7247</v>
      </c>
      <c r="J48" s="353">
        <f t="shared" ca="1" si="2"/>
        <v>61599500</v>
      </c>
      <c r="K48" s="353">
        <f t="shared" ca="1" si="3"/>
        <v>120861</v>
      </c>
      <c r="L48" s="353">
        <f t="shared" ca="1" si="4"/>
        <v>958984700</v>
      </c>
      <c r="M48" s="353"/>
      <c r="N48" s="343"/>
    </row>
    <row r="49" spans="1:14" hidden="1">
      <c r="A49" s="314">
        <f t="shared" ca="1" si="0"/>
        <v>36</v>
      </c>
      <c r="B49" s="349" t="str">
        <f ca="1">IF(ROWS($1:36)&gt;COUNT(Dong11),"",OFFSET(TH!D$1,SMALL(Dong11,ROWS($1:36)),))</f>
        <v>NL/X</v>
      </c>
      <c r="C49" s="350">
        <f ca="1">IF(ROWS($1:36)&gt;COUNT(Dong11),"",OFFSET(TH!E$1,SMALL(Dong11,ROWS($1:36)),))</f>
        <v>41917</v>
      </c>
      <c r="D49" s="351" t="str">
        <f ca="1">IF(ROWS($1:36)&gt;COUNT(Dong11),"",OFFSET(TH!H$1,SMALL(Dong11,ROWS($1:36)),))</f>
        <v>Xuất sản xuất</v>
      </c>
      <c r="E49" s="349" t="str">
        <f ca="1">IF(ROWS($1:36)&gt;COUNT(Dong11),"",IF(OFFSET(TH!L$1,SMALL(Dong11,ROWS($1:36)),)=$G$7,OFFSET(TH!M$1,SMALL(Dong11,ROWS($1:36)),),OFFSET(TH!L$1,SMALL(Dong11,ROWS($1:36)),)))</f>
        <v>154</v>
      </c>
      <c r="F49" s="352">
        <f ca="1">IF(ROWS($1:36)&gt;COUNT(Dong11),0,OFFSET(TH!J$1,SMALL(Dong11,ROWS($1:36)),))</f>
        <v>7200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"/>
        <v>0</v>
      </c>
      <c r="I49" s="352">
        <f ca="1">IF(ROWS($1:36)&gt;COUNT(Dong11),0,IF(MID(OFFSET(TH!D$1,SMALL(Dong11,ROWS($1:36)),),4,1)="X",OFFSET(TH!I$1,SMALL(Dong11,ROWS($1:36)),),0))</f>
        <v>1663</v>
      </c>
      <c r="J49" s="353">
        <f t="shared" ca="1" si="2"/>
        <v>11973600</v>
      </c>
      <c r="K49" s="353">
        <f t="shared" ca="1" si="3"/>
        <v>119198</v>
      </c>
      <c r="L49" s="353">
        <f t="shared" ca="1" si="4"/>
        <v>947011100</v>
      </c>
      <c r="M49" s="353"/>
      <c r="N49" s="343"/>
    </row>
    <row r="50" spans="1:14" hidden="1">
      <c r="A50" s="314">
        <f t="shared" ca="1" si="0"/>
        <v>37</v>
      </c>
      <c r="B50" s="349" t="str">
        <f ca="1">IF(ROWS($1:37)&gt;COUNT(Dong11),"",OFFSET(TH!D$1,SMALL(Dong11,ROWS($1:37)),))</f>
        <v>NL/X</v>
      </c>
      <c r="C50" s="350">
        <f ca="1">IF(ROWS($1:37)&gt;COUNT(Dong11),"",OFFSET(TH!E$1,SMALL(Dong11,ROWS($1:37)),))</f>
        <v>41927</v>
      </c>
      <c r="D50" s="351" t="str">
        <f ca="1">IF(ROWS($1:37)&gt;COUNT(Dong11),"",OFFSET(TH!H$1,SMALL(Dong11,ROWS($1:37)),))</f>
        <v>Xuất sản xuất</v>
      </c>
      <c r="E50" s="349" t="str">
        <f ca="1">IF(ROWS($1:37)&gt;COUNT(Dong11),"",IF(OFFSET(TH!L$1,SMALL(Dong11,ROWS($1:37)),)=$G$7,OFFSET(TH!M$1,SMALL(Dong11,ROWS($1:37)),),OFFSET(TH!L$1,SMALL(Dong11,ROWS($1:37)),)))</f>
        <v>154</v>
      </c>
      <c r="F50" s="352">
        <f ca="1">IF(ROWS($1:37)&gt;COUNT(Dong11),0,OFFSET(TH!J$1,SMALL(Dong11,ROWS($1:37)),))</f>
        <v>7500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"/>
        <v>0</v>
      </c>
      <c r="I50" s="352">
        <f ca="1">IF(ROWS($1:37)&gt;COUNT(Dong11),0,IF(MID(OFFSET(TH!D$1,SMALL(Dong11,ROWS($1:37)),),4,1)="X",OFFSET(TH!I$1,SMALL(Dong11,ROWS($1:37)),),0))</f>
        <v>1821</v>
      </c>
      <c r="J50" s="353">
        <f t="shared" ca="1" si="2"/>
        <v>13657500</v>
      </c>
      <c r="K50" s="353">
        <f t="shared" ca="1" si="3"/>
        <v>117377</v>
      </c>
      <c r="L50" s="353">
        <f t="shared" ca="1" si="4"/>
        <v>933353600</v>
      </c>
      <c r="M50" s="353"/>
      <c r="N50" s="343"/>
    </row>
    <row r="51" spans="1:14">
      <c r="A51" s="314">
        <f t="shared" ca="1" si="0"/>
        <v>38</v>
      </c>
      <c r="B51" s="349" t="str">
        <f ca="1">IF(ROWS($1:38)&gt;COUNT(Dong11),"",OFFSET(TH!D$1,SMALL(Dong11,ROWS($1:38)),))</f>
        <v>NL/X</v>
      </c>
      <c r="C51" s="350">
        <f ca="1">IF(ROWS($1:38)&gt;COUNT(Dong11),"",OFFSET(TH!E$1,SMALL(Dong11,ROWS($1:38)),))</f>
        <v>41933</v>
      </c>
      <c r="D51" s="351" t="str">
        <f ca="1">IF(ROWS($1:38)&gt;COUNT(Dong11),"",OFFSET(TH!H$1,SMALL(Dong11,ROWS($1:38)),))</f>
        <v>Xuất sản xuất</v>
      </c>
      <c r="E51" s="349" t="str">
        <f ca="1">IF(ROWS($1:38)&gt;COUNT(Dong11),"",IF(OFFSET(TH!L$1,SMALL(Dong11,ROWS($1:38)),)=$G$7,OFFSET(TH!M$1,SMALL(Dong11,ROWS($1:38)),),OFFSET(TH!L$1,SMALL(Dong11,ROWS($1:38)),)))</f>
        <v>154</v>
      </c>
      <c r="F51" s="352">
        <f ca="1">IF(ROWS($1:38)&gt;COUNT(Dong11),0,OFFSET(TH!J$1,SMALL(Dong11,ROWS($1:38)),))</f>
        <v>8500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"/>
        <v>0</v>
      </c>
      <c r="I51" s="352">
        <f ca="1">IF(ROWS($1:38)&gt;COUNT(Dong11),0,IF(MID(OFFSET(TH!D$1,SMALL(Dong11,ROWS($1:38)),),4,1)="X",OFFSET(TH!I$1,SMALL(Dong11,ROWS($1:38)),),0))</f>
        <v>14240</v>
      </c>
      <c r="J51" s="353">
        <f t="shared" ca="1" si="2"/>
        <v>121040000</v>
      </c>
      <c r="K51" s="353">
        <f t="shared" ca="1" si="3"/>
        <v>103137</v>
      </c>
      <c r="L51" s="353">
        <f t="shared" ca="1" si="4"/>
        <v>812313600</v>
      </c>
      <c r="M51" s="353"/>
      <c r="N51" s="343"/>
    </row>
    <row r="52" spans="1:14">
      <c r="A52" s="314">
        <f t="shared" ca="1" si="0"/>
        <v>39</v>
      </c>
      <c r="B52" s="349" t="str">
        <f ca="1">IF(ROWS($1:39)&gt;COUNT(Dong11),"",OFFSET(TH!D$1,SMALL(Dong11,ROWS($1:39)),))</f>
        <v>NL/X</v>
      </c>
      <c r="C52" s="350">
        <f ca="1">IF(ROWS($1:39)&gt;COUNT(Dong11),"",OFFSET(TH!E$1,SMALL(Dong11,ROWS($1:39)),))</f>
        <v>41961</v>
      </c>
      <c r="D52" s="351" t="str">
        <f ca="1">IF(ROWS($1:39)&gt;COUNT(Dong11),"",OFFSET(TH!H$1,SMALL(Dong11,ROWS($1:39)),))</f>
        <v>Xuất sản xuất</v>
      </c>
      <c r="E52" s="349" t="str">
        <f ca="1">IF(ROWS($1:39)&gt;COUNT(Dong11),"",IF(OFFSET(TH!L$1,SMALL(Dong11,ROWS($1:39)),)=$G$7,OFFSET(TH!M$1,SMALL(Dong11,ROWS($1:39)),),OFFSET(TH!L$1,SMALL(Dong11,ROWS($1:39)),)))</f>
        <v>154</v>
      </c>
      <c r="F52" s="352">
        <f ca="1">IF(ROWS($1:39)&gt;COUNT(Dong11),0,OFFSET(TH!J$1,SMALL(Dong11,ROWS($1:39)),))</f>
        <v>8500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"/>
        <v>0</v>
      </c>
      <c r="I52" s="352">
        <f ca="1">IF(ROWS($1:39)&gt;COUNT(Dong11),0,IF(MID(OFFSET(TH!D$1,SMALL(Dong11,ROWS($1:39)),),4,1)="X",OFFSET(TH!I$1,SMALL(Dong11,ROWS($1:39)),),0))</f>
        <v>10090</v>
      </c>
      <c r="J52" s="353">
        <f t="shared" ca="1" si="2"/>
        <v>85765000</v>
      </c>
      <c r="K52" s="353">
        <f t="shared" ca="1" si="3"/>
        <v>93047</v>
      </c>
      <c r="L52" s="353">
        <f t="shared" ca="1" si="4"/>
        <v>726548600</v>
      </c>
      <c r="M52" s="353"/>
      <c r="N52" s="343"/>
    </row>
    <row r="53" spans="1:14" hidden="1">
      <c r="A53" s="314" t="str">
        <f t="shared" ca="1" si="0"/>
        <v/>
      </c>
      <c r="B53" s="349" t="str">
        <f ca="1">IF(ROWS($1:40)&gt;COUNT(Dong11),"",OFFSET(TH!D$1,SMALL(Dong11,ROWS($1:40)),))</f>
        <v/>
      </c>
      <c r="C53" s="350" t="str">
        <f ca="1">IF(ROWS($1:40)&gt;COUNT(Dong11),"",OFFSET(TH!E$1,SMALL(Dong11,ROWS($1:40)),))</f>
        <v/>
      </c>
      <c r="D53" s="351" t="str">
        <f ca="1">IF(ROWS($1:40)&gt;COUNT(Dong11),"",OFFSET(TH!H$1,SMALL(Dong11,ROWS($1:40)),))</f>
        <v/>
      </c>
      <c r="E53" s="349" t="str">
        <f ca="1">IF(ROWS($1:40)&gt;COUNT(Dong11),"",IF(OFFSET(TH!L$1,SMALL(Dong11,ROWS($1:40)),)=$G$7,OFFSET(TH!M$1,SMALL(Dong11,ROWS($1:40)),),OFFSET(TH!L$1,SMALL(Dong11,ROWS($1:40)),)))</f>
        <v/>
      </c>
      <c r="F53" s="352">
        <f ca="1">IF(ROWS($1:40)&gt;COUNT(Dong11),0,OFFSET(TH!J$1,SMALL(Dong11,ROWS($1:40)),))</f>
        <v>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"/>
        <v>0</v>
      </c>
      <c r="I53" s="352">
        <f ca="1">IF(ROWS($1:40)&gt;COUNT(Dong11),0,IF(MID(OFFSET(TH!D$1,SMALL(Dong11,ROWS($1:40)),),4,1)="X",OFFSET(TH!I$1,SMALL(Dong11,ROWS($1:40)),),0))</f>
        <v>0</v>
      </c>
      <c r="J53" s="353">
        <f t="shared" ca="1" si="2"/>
        <v>0</v>
      </c>
      <c r="K53" s="353">
        <f t="shared" ca="1" si="3"/>
        <v>0</v>
      </c>
      <c r="L53" s="353">
        <f t="shared" ca="1" si="4"/>
        <v>0</v>
      </c>
      <c r="M53" s="353"/>
      <c r="N53" s="343"/>
    </row>
    <row r="54" spans="1:14" hidden="1">
      <c r="A54" s="314" t="str">
        <f t="shared" ca="1" si="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2"/>
        <v>0</v>
      </c>
      <c r="K54" s="353">
        <f t="shared" ca="1" si="3"/>
        <v>0</v>
      </c>
      <c r="L54" s="353">
        <f t="shared" ca="1" si="4"/>
        <v>0</v>
      </c>
      <c r="M54" s="353"/>
      <c r="N54" s="343"/>
    </row>
    <row r="55" spans="1:14" hidden="1">
      <c r="A55" s="314" t="str">
        <f t="shared" ca="1" si="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2"/>
        <v>0</v>
      </c>
      <c r="K55" s="353">
        <f t="shared" ca="1" si="3"/>
        <v>0</v>
      </c>
      <c r="L55" s="353">
        <f t="shared" ca="1" si="4"/>
        <v>0</v>
      </c>
      <c r="M55" s="353"/>
      <c r="N55" s="343"/>
    </row>
    <row r="56" spans="1:14" hidden="1">
      <c r="A56" s="314" t="str">
        <f t="shared" ca="1" si="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2"/>
        <v>0</v>
      </c>
      <c r="K56" s="353">
        <f t="shared" ca="1" si="3"/>
        <v>0</v>
      </c>
      <c r="L56" s="353">
        <f t="shared" ca="1" si="4"/>
        <v>0</v>
      </c>
      <c r="M56" s="353"/>
      <c r="N56" s="343"/>
    </row>
    <row r="57" spans="1:14" hidden="1">
      <c r="A57" s="314" t="str">
        <f t="shared" ca="1" si="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2"/>
        <v>0</v>
      </c>
      <c r="K57" s="353">
        <f t="shared" ca="1" si="3"/>
        <v>0</v>
      </c>
      <c r="L57" s="353">
        <f t="shared" ca="1" si="4"/>
        <v>0</v>
      </c>
      <c r="M57" s="353"/>
      <c r="N57" s="343"/>
    </row>
    <row r="58" spans="1:14" hidden="1">
      <c r="A58" s="314" t="str">
        <f t="shared" ca="1" si="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2"/>
        <v>0</v>
      </c>
      <c r="K58" s="353">
        <f t="shared" ca="1" si="3"/>
        <v>0</v>
      </c>
      <c r="L58" s="353">
        <f t="shared" ca="1" si="4"/>
        <v>0</v>
      </c>
      <c r="M58" s="353"/>
      <c r="N58" s="343"/>
    </row>
    <row r="59" spans="1:14" hidden="1">
      <c r="A59" s="314" t="str">
        <f t="shared" ca="1" si="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2"/>
        <v>0</v>
      </c>
      <c r="K59" s="353">
        <f t="shared" ca="1" si="3"/>
        <v>0</v>
      </c>
      <c r="L59" s="353">
        <f t="shared" ca="1" si="4"/>
        <v>0</v>
      </c>
      <c r="M59" s="353"/>
      <c r="N59" s="343"/>
    </row>
    <row r="60" spans="1:14" hidden="1">
      <c r="A60" s="314" t="str">
        <f t="shared" ca="1" si="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2"/>
        <v>0</v>
      </c>
      <c r="K60" s="353">
        <f t="shared" ca="1" si="3"/>
        <v>0</v>
      </c>
      <c r="L60" s="353">
        <f t="shared" ca="1" si="4"/>
        <v>0</v>
      </c>
      <c r="M60" s="353"/>
      <c r="N60" s="343"/>
    </row>
    <row r="61" spans="1:14" hidden="1">
      <c r="A61" s="314" t="str">
        <f t="shared" ca="1" si="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2"/>
        <v>0</v>
      </c>
      <c r="K61" s="353">
        <f t="shared" ca="1" si="3"/>
        <v>0</v>
      </c>
      <c r="L61" s="353">
        <f t="shared" ca="1" si="4"/>
        <v>0</v>
      </c>
      <c r="M61" s="353"/>
      <c r="N61" s="343"/>
    </row>
    <row r="62" spans="1:14" hidden="1">
      <c r="A62" s="314" t="str">
        <f t="shared" ca="1" si="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2"/>
        <v>0</v>
      </c>
      <c r="K62" s="353">
        <f t="shared" ca="1" si="3"/>
        <v>0</v>
      </c>
      <c r="L62" s="353">
        <f t="shared" ca="1" si="4"/>
        <v>0</v>
      </c>
      <c r="M62" s="353"/>
      <c r="N62" s="343"/>
    </row>
    <row r="63" spans="1:14" hidden="1">
      <c r="A63" s="314" t="str">
        <f t="shared" ca="1" si="0"/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ca="1" si="1"/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ca="1" si="2"/>
        <v>0</v>
      </c>
      <c r="K63" s="353">
        <f t="shared" ca="1" si="3"/>
        <v>0</v>
      </c>
      <c r="L63" s="353">
        <f t="shared" ca="1" si="4"/>
        <v>0</v>
      </c>
      <c r="M63" s="353"/>
      <c r="N63" s="343"/>
    </row>
    <row r="64" spans="1:14" hidden="1">
      <c r="A64" s="314" t="str">
        <f t="shared" ca="1" si="0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2"/>
        <v>0</v>
      </c>
      <c r="K64" s="353">
        <f t="shared" ca="1" si="3"/>
        <v>0</v>
      </c>
      <c r="L64" s="353">
        <f t="shared" ca="1" si="4"/>
        <v>0</v>
      </c>
      <c r="M64" s="353"/>
      <c r="N64" s="343"/>
    </row>
    <row r="65" spans="1:14" hidden="1">
      <c r="A65" s="314" t="str">
        <f t="shared" ca="1" si="0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2"/>
        <v>0</v>
      </c>
      <c r="K65" s="353">
        <f t="shared" ca="1" si="3"/>
        <v>0</v>
      </c>
      <c r="L65" s="353">
        <f t="shared" ca="1" si="4"/>
        <v>0</v>
      </c>
      <c r="M65" s="353"/>
      <c r="N65" s="343"/>
    </row>
    <row r="66" spans="1:14" hidden="1">
      <c r="A66" s="314" t="str">
        <f t="shared" ca="1" si="0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2"/>
        <v>0</v>
      </c>
      <c r="K66" s="353">
        <f t="shared" ca="1" si="3"/>
        <v>0</v>
      </c>
      <c r="L66" s="353">
        <f t="shared" ca="1" si="4"/>
        <v>0</v>
      </c>
      <c r="M66" s="353"/>
      <c r="N66" s="343"/>
    </row>
    <row r="67" spans="1:14" hidden="1">
      <c r="A67" s="314" t="str">
        <f t="shared" ca="1" si="0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2"/>
        <v>0</v>
      </c>
      <c r="K67" s="353">
        <f t="shared" ca="1" si="3"/>
        <v>0</v>
      </c>
      <c r="L67" s="353">
        <f t="shared" ca="1" si="4"/>
        <v>0</v>
      </c>
      <c r="M67" s="353"/>
      <c r="N67" s="343"/>
    </row>
    <row r="68" spans="1:14" hidden="1">
      <c r="A68" s="314" t="str">
        <f t="shared" ca="1" si="0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2"/>
        <v>0</v>
      </c>
      <c r="K68" s="353">
        <f t="shared" ca="1" si="3"/>
        <v>0</v>
      </c>
      <c r="L68" s="353">
        <f t="shared" ca="1" si="4"/>
        <v>0</v>
      </c>
      <c r="M68" s="353"/>
      <c r="N68" s="343"/>
    </row>
    <row r="69" spans="1:14" hidden="1">
      <c r="A69" s="314" t="str">
        <f t="shared" ca="1" si="0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2"/>
        <v>0</v>
      </c>
      <c r="K69" s="353">
        <f t="shared" ca="1" si="3"/>
        <v>0</v>
      </c>
      <c r="L69" s="353">
        <f t="shared" ca="1" si="4"/>
        <v>0</v>
      </c>
      <c r="M69" s="353"/>
      <c r="N69" s="343"/>
    </row>
    <row r="70" spans="1:14" hidden="1">
      <c r="A70" s="314" t="str">
        <f t="shared" ca="1" si="0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2"/>
        <v>0</v>
      </c>
      <c r="K70" s="353">
        <f t="shared" ca="1" si="3"/>
        <v>0</v>
      </c>
      <c r="L70" s="353">
        <f t="shared" ca="1" si="4"/>
        <v>0</v>
      </c>
      <c r="M70" s="353"/>
      <c r="N70" s="343"/>
    </row>
    <row r="71" spans="1:14" hidden="1">
      <c r="A71" s="314" t="str">
        <f t="shared" ca="1" si="0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2"/>
        <v>0</v>
      </c>
      <c r="K71" s="353">
        <f t="shared" ca="1" si="3"/>
        <v>0</v>
      </c>
      <c r="L71" s="353">
        <f t="shared" ca="1" si="4"/>
        <v>0</v>
      </c>
      <c r="M71" s="353"/>
      <c r="N71" s="343"/>
    </row>
    <row r="72" spans="1:14" hidden="1">
      <c r="A72" s="314" t="str">
        <f t="shared" ca="1" si="0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2"/>
        <v>0</v>
      </c>
      <c r="K72" s="353">
        <f t="shared" ca="1" si="3"/>
        <v>0</v>
      </c>
      <c r="L72" s="353">
        <f t="shared" ca="1" si="4"/>
        <v>0</v>
      </c>
      <c r="M72" s="353"/>
      <c r="N72" s="343"/>
    </row>
    <row r="73" spans="1:14" hidden="1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 hidden="1">
      <c r="A74" s="361"/>
      <c r="B74" s="361"/>
      <c r="C74" s="361"/>
      <c r="D74" s="361" t="s">
        <v>227</v>
      </c>
      <c r="E74" s="341" t="s">
        <v>19</v>
      </c>
      <c r="F74" s="341" t="s">
        <v>19</v>
      </c>
      <c r="G74" s="362">
        <f ca="1">SUM(G14:G73)</f>
        <v>161355</v>
      </c>
      <c r="H74" s="362">
        <f ca="1">SUM(H14:H73)</f>
        <v>1288039800</v>
      </c>
      <c r="I74" s="362">
        <f ca="1">SUM(I14:I73)</f>
        <v>68308</v>
      </c>
      <c r="J74" s="362">
        <f ca="1">SUM(J14:J73)</f>
        <v>561491200</v>
      </c>
      <c r="K74" s="362">
        <f ca="1">K13+G74-I74</f>
        <v>93047</v>
      </c>
      <c r="L74" s="362">
        <f ca="1">L13+H74-J74</f>
        <v>726548600</v>
      </c>
      <c r="M74" s="361"/>
      <c r="N74" s="343"/>
    </row>
    <row r="75" spans="1:14" hidden="1">
      <c r="B75" s="363" t="s">
        <v>228</v>
      </c>
      <c r="G75" s="355"/>
      <c r="N75" s="343"/>
    </row>
    <row r="76" spans="1:14" hidden="1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5"/>
      <c r="I76" s="355"/>
      <c r="N76" s="343"/>
    </row>
    <row r="77" spans="1:14" hidden="1">
      <c r="B77" s="330"/>
      <c r="C77" s="330"/>
      <c r="D77" s="330"/>
      <c r="F77" s="330"/>
      <c r="G77" s="365"/>
      <c r="H77" s="331"/>
      <c r="I77" s="366"/>
      <c r="J77" s="1091" t="str">
        <f ca="1">"Ngày 31 tháng  12  năm  "&amp;YEAR($A$14)</f>
        <v>Ngày 31 tháng  12  năm  1900</v>
      </c>
      <c r="K77" s="1091"/>
      <c r="L77" s="1091"/>
      <c r="M77" s="1091"/>
      <c r="N77" s="343"/>
    </row>
    <row r="78" spans="1:14" hidden="1">
      <c r="C78" s="330"/>
      <c r="D78" s="541" t="s">
        <v>11</v>
      </c>
      <c r="E78" s="1091" t="s">
        <v>12</v>
      </c>
      <c r="F78" s="1091"/>
      <c r="G78" s="1091"/>
      <c r="H78" s="1091"/>
      <c r="I78" s="1091"/>
      <c r="J78" s="1091" t="s">
        <v>109</v>
      </c>
      <c r="K78" s="1091"/>
      <c r="L78" s="1091"/>
      <c r="M78" s="1091"/>
      <c r="N78" s="343"/>
    </row>
    <row r="79" spans="1:14" hidden="1">
      <c r="C79" s="330"/>
      <c r="D79" s="541" t="s">
        <v>13</v>
      </c>
      <c r="E79" s="1091" t="s">
        <v>13</v>
      </c>
      <c r="F79" s="1091"/>
      <c r="G79" s="1091"/>
      <c r="H79" s="1091" t="s">
        <v>136</v>
      </c>
      <c r="I79" s="1091"/>
      <c r="J79" s="1091" t="s">
        <v>136</v>
      </c>
      <c r="K79" s="1091"/>
      <c r="L79" s="1091"/>
      <c r="M79" s="1091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3" t="s">
        <v>151</v>
      </c>
      <c r="E88" s="553"/>
      <c r="J88" s="1087" t="s">
        <v>103</v>
      </c>
      <c r="K88" s="1087"/>
      <c r="L88" s="1087"/>
      <c r="M88" s="1087"/>
      <c r="N88" s="554"/>
    </row>
  </sheetData>
  <autoFilter ref="A12:Q79">
    <filterColumn colId="5">
      <filters>
        <filter val="8,500"/>
      </filters>
    </filterColumn>
  </autoFilter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105" t="s">
        <v>229</v>
      </c>
      <c r="G1" s="1105"/>
      <c r="H1" s="1105"/>
      <c r="I1" s="1105"/>
      <c r="J1" s="1105"/>
      <c r="K1" s="373"/>
      <c r="L1" s="374"/>
    </row>
    <row r="2" spans="1:12" ht="15" customHeight="1">
      <c r="A2" s="586" t="str">
        <f>TH!A2</f>
        <v>Địa chỉ: 1A227/1 Ấp 1, Phạm Văn Hai, Bình Chánh, TPHCM</v>
      </c>
      <c r="B2" s="375"/>
      <c r="C2" s="375"/>
      <c r="D2" s="375"/>
      <c r="E2" s="376"/>
      <c r="F2" s="1104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104"/>
      <c r="H2" s="1104"/>
      <c r="I2" s="1104"/>
      <c r="J2" s="1104"/>
      <c r="K2" s="373"/>
    </row>
    <row r="3" spans="1:12" ht="15">
      <c r="A3" s="375"/>
      <c r="B3" s="375"/>
      <c r="C3" s="375"/>
      <c r="D3" s="375"/>
      <c r="E3" s="376"/>
      <c r="F3" s="1104"/>
      <c r="G3" s="1104"/>
      <c r="H3" s="1104"/>
      <c r="I3" s="1104"/>
      <c r="J3" s="1104"/>
      <c r="K3" s="373"/>
    </row>
    <row r="4" spans="1:12" ht="18.75" customHeight="1">
      <c r="A4" s="378"/>
      <c r="B4" s="378"/>
      <c r="C4" s="378"/>
      <c r="D4" s="378"/>
      <c r="E4" s="379" t="s">
        <v>230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231</v>
      </c>
      <c r="F6" s="380"/>
      <c r="G6" s="380"/>
      <c r="H6" s="380"/>
      <c r="I6" s="380"/>
      <c r="J6" s="373"/>
      <c r="K6" s="373"/>
    </row>
    <row r="7" spans="1:12" ht="15">
      <c r="A7" s="364" t="s">
        <v>232</v>
      </c>
      <c r="B7" s="364"/>
      <c r="C7" s="382"/>
      <c r="D7" s="382"/>
      <c r="E7" s="383" t="s">
        <v>350</v>
      </c>
      <c r="F7" s="377"/>
      <c r="G7" s="384"/>
      <c r="H7" s="384"/>
      <c r="I7" s="384"/>
      <c r="J7" s="373"/>
      <c r="K7" s="373"/>
    </row>
    <row r="8" spans="1:12" ht="15">
      <c r="A8" s="364" t="s">
        <v>233</v>
      </c>
      <c r="B8" s="364"/>
      <c r="C8" s="373" t="str">
        <f>VLOOKUP($E$7,NXT!$C$12:$L$345,2,0)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106" t="s">
        <v>234</v>
      </c>
      <c r="B9" s="1107"/>
      <c r="C9" s="1107"/>
      <c r="D9" s="1107"/>
      <c r="E9" s="383"/>
      <c r="F9" s="377"/>
      <c r="G9" s="384"/>
      <c r="H9" s="384"/>
      <c r="I9" s="384"/>
      <c r="J9" s="385"/>
      <c r="K9" s="385"/>
    </row>
    <row r="10" spans="1:12" ht="19.5" customHeight="1">
      <c r="A10" s="1108" t="s">
        <v>235</v>
      </c>
      <c r="B10" s="1109" t="s">
        <v>236</v>
      </c>
      <c r="C10" s="1111" t="s">
        <v>15</v>
      </c>
      <c r="D10" s="1096"/>
      <c r="E10" s="1112" t="s">
        <v>0</v>
      </c>
      <c r="F10" s="1102" t="s">
        <v>237</v>
      </c>
      <c r="G10" s="1095" t="s">
        <v>206</v>
      </c>
      <c r="H10" s="1095"/>
      <c r="I10" s="1096"/>
      <c r="J10" s="1097" t="s">
        <v>238</v>
      </c>
      <c r="K10" s="386"/>
      <c r="L10" s="387" t="s">
        <v>223</v>
      </c>
    </row>
    <row r="11" spans="1:12" ht="19.5" customHeight="1">
      <c r="A11" s="1108"/>
      <c r="B11" s="1110"/>
      <c r="C11" s="388" t="s">
        <v>220</v>
      </c>
      <c r="D11" s="388" t="s">
        <v>221</v>
      </c>
      <c r="E11" s="1113"/>
      <c r="F11" s="1103"/>
      <c r="G11" s="389" t="s">
        <v>220</v>
      </c>
      <c r="H11" s="389" t="s">
        <v>221</v>
      </c>
      <c r="I11" s="389" t="s">
        <v>222</v>
      </c>
      <c r="J11" s="1098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197</v>
      </c>
      <c r="F13" s="397"/>
      <c r="G13" s="400"/>
      <c r="H13" s="400"/>
      <c r="I13" s="401">
        <f>VLOOKUP($E$7,NXT!$C$12:$L$345,3,0)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VL/N04</v>
      </c>
      <c r="D14" s="404" t="str">
        <f ca="1">IF(ROWS($1:1)&gt;COUNT(Dong12),"",IF(MID(OFFSET(TH!D$1,SMALL(Dong12,ROWS($1:1)),),4,1)="X",OFFSET(TH!D$1,SMALL(Dong12,ROWS($1:1)),),""))</f>
        <v/>
      </c>
      <c r="E14" s="630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VL/N08</v>
      </c>
      <c r="D15" s="404" t="str">
        <f ca="1">IF(ROWS($1:2)&gt;COUNT(Dong12),"",IF(MID(OFFSET(TH!D$1,SMALL(Dong12,ROWS($1:2)),),4,1)="X",OFFSET(TH!D$1,SMALL(Dong12,ROWS($1:2)),),""))</f>
        <v/>
      </c>
      <c r="E15" s="630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>
        <f t="shared" ref="A16:A30" ca="1" si="2">IF(B16&lt;&gt;"",A15+1,"")</f>
        <v>3</v>
      </c>
      <c r="B16" s="404">
        <f ca="1">IF(ROWS($1:3)&gt;COUNT(Dong12),"",OFFSET(TH!E$1,SMALL(Dong12,ROWS($1:3)),))</f>
        <v>41922</v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>VL/X</v>
      </c>
      <c r="E16" s="630" t="str">
        <f ca="1">IF(ROWS($1:3)&gt;COUNT(Dong12),"",OFFSET(TH!H$1,SMALL(Dong12,ROWS($1:3)),))</f>
        <v>Xuất sản xuất</v>
      </c>
      <c r="F16" s="404">
        <f t="shared" ca="1" si="0"/>
        <v>41922</v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150</v>
      </c>
      <c r="I16" s="406">
        <f t="shared" ca="1" si="1"/>
        <v>100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0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0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0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0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0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0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0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0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0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0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0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0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0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0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1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239</v>
      </c>
      <c r="F32" s="416" t="s">
        <v>19</v>
      </c>
      <c r="G32" s="417">
        <f ca="1">SUM(G14:G31)</f>
        <v>250</v>
      </c>
      <c r="H32" s="417">
        <f ca="1">SUM(H14:H31)</f>
        <v>150</v>
      </c>
      <c r="I32" s="417">
        <f ca="1">I13+G32-H32</f>
        <v>100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240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09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100"/>
      <c r="C35" s="1100"/>
      <c r="D35" s="1100"/>
      <c r="E35" s="1100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241</v>
      </c>
      <c r="D37" s="419"/>
      <c r="E37" s="1101" t="s">
        <v>12</v>
      </c>
      <c r="F37" s="1101"/>
      <c r="G37" s="384"/>
      <c r="I37" s="557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094" t="s">
        <v>13</v>
      </c>
      <c r="F38" s="1094"/>
      <c r="G38" s="384"/>
      <c r="I38" s="558" t="s">
        <v>136</v>
      </c>
      <c r="J38" s="556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59" t="s">
        <v>321</v>
      </c>
      <c r="H46" s="555"/>
      <c r="I46" s="554" t="s">
        <v>103</v>
      </c>
      <c r="J46" s="55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709" customWidth="1"/>
    <col min="2" max="2" width="23.140625" style="709" customWidth="1"/>
    <col min="3" max="3" width="8.85546875" style="824" customWidth="1"/>
    <col min="4" max="4" width="8.85546875" style="723" customWidth="1"/>
    <col min="5" max="5" width="12.140625" style="709" customWidth="1"/>
    <col min="6" max="6" width="11" style="709" customWidth="1"/>
    <col min="7" max="7" width="9.7109375" style="709" customWidth="1"/>
    <col min="8" max="8" width="11.140625" style="709" customWidth="1"/>
    <col min="9" max="9" width="10.85546875" style="709" customWidth="1"/>
    <col min="10" max="10" width="12" style="709" customWidth="1"/>
    <col min="11" max="11" width="8.42578125" style="709" customWidth="1"/>
    <col min="12" max="12" width="7.42578125" style="709" customWidth="1"/>
    <col min="13" max="13" width="1.7109375" style="721" customWidth="1"/>
    <col min="14" max="14" width="23" style="709" customWidth="1"/>
    <col min="15" max="15" width="10.140625" style="722" customWidth="1"/>
    <col min="16" max="16" width="7" style="764" customWidth="1"/>
    <col min="17" max="17" width="7.5703125" style="293" customWidth="1"/>
    <col min="18" max="18" width="12.42578125" style="709" customWidth="1"/>
    <col min="19" max="19" width="15.85546875" style="709" customWidth="1"/>
    <col min="20" max="20" width="8.28515625" style="722" customWidth="1"/>
    <col min="21" max="21" width="7.5703125" style="293" customWidth="1"/>
    <col min="22" max="22" width="9" style="293" customWidth="1"/>
    <col min="23" max="23" width="9.7109375" style="709" customWidth="1"/>
    <col min="24" max="24" width="10.28515625" style="709" customWidth="1"/>
    <col min="25" max="16384" width="10.28515625" style="709"/>
  </cols>
  <sheetData>
    <row r="1" spans="1:25">
      <c r="B1" s="709">
        <v>1</v>
      </c>
      <c r="E1" s="709">
        <v>5</v>
      </c>
      <c r="F1" s="709">
        <v>6</v>
      </c>
      <c r="G1" s="709">
        <v>7</v>
      </c>
      <c r="H1" s="709">
        <v>8</v>
      </c>
      <c r="I1" s="709">
        <v>10</v>
      </c>
      <c r="J1" s="709">
        <v>13</v>
      </c>
      <c r="K1" s="709">
        <v>14</v>
      </c>
      <c r="L1" s="709">
        <v>15</v>
      </c>
    </row>
    <row r="2" spans="1:25" ht="18" hidden="1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293"/>
      <c r="J2" s="293"/>
      <c r="K2" s="566"/>
      <c r="L2" s="293"/>
      <c r="M2" s="724"/>
      <c r="N2" s="293"/>
      <c r="O2" s="704"/>
      <c r="S2" s="293"/>
      <c r="T2" s="704"/>
    </row>
    <row r="3" spans="1:25" ht="18.75" customHeight="1">
      <c r="A3" s="711" t="s">
        <v>1378</v>
      </c>
      <c r="B3" s="711"/>
      <c r="E3" s="711"/>
      <c r="F3" s="711"/>
      <c r="G3" s="711"/>
      <c r="H3" s="711"/>
      <c r="I3" s="711"/>
      <c r="J3" s="711"/>
      <c r="K3" s="711"/>
      <c r="L3" s="711"/>
      <c r="M3" s="724"/>
      <c r="N3" s="293"/>
      <c r="O3" s="704"/>
      <c r="S3" s="293"/>
      <c r="T3" s="704"/>
    </row>
    <row r="4" spans="1:25" ht="12.75" customHeight="1">
      <c r="A4" s="760"/>
      <c r="B4" s="753"/>
      <c r="C4" s="825"/>
      <c r="D4" s="760"/>
      <c r="E4" s="753"/>
      <c r="F4" s="753"/>
      <c r="G4" s="753"/>
      <c r="H4" s="753"/>
      <c r="I4" s="753"/>
      <c r="J4" s="753"/>
      <c r="K4" s="726"/>
      <c r="L4" s="753"/>
      <c r="M4" s="724"/>
      <c r="N4" s="719"/>
      <c r="O4" s="760"/>
      <c r="P4" s="765"/>
      <c r="Q4" s="727"/>
      <c r="R4" s="760"/>
      <c r="S4" s="760"/>
      <c r="T4" s="760"/>
      <c r="U4" s="760"/>
      <c r="V4" s="760"/>
      <c r="W4" s="760"/>
      <c r="X4" s="719"/>
      <c r="Y4" s="719"/>
    </row>
    <row r="5" spans="1:25" s="441" customFormat="1" ht="30.75" customHeight="1">
      <c r="A5" s="774" t="s">
        <v>35</v>
      </c>
      <c r="B5" s="436" t="s">
        <v>242</v>
      </c>
      <c r="C5" s="437" t="s">
        <v>1246</v>
      </c>
      <c r="D5" s="437" t="s">
        <v>1247</v>
      </c>
      <c r="E5" s="437" t="s">
        <v>245</v>
      </c>
      <c r="F5" s="437" t="s">
        <v>373</v>
      </c>
      <c r="G5" s="437" t="s">
        <v>246</v>
      </c>
      <c r="H5" s="437" t="s">
        <v>369</v>
      </c>
      <c r="I5" s="438" t="s">
        <v>247</v>
      </c>
      <c r="J5" s="437" t="s">
        <v>248</v>
      </c>
      <c r="K5" s="439" t="s">
        <v>243</v>
      </c>
      <c r="L5" s="437" t="s">
        <v>249</v>
      </c>
      <c r="M5" s="440"/>
      <c r="N5" s="436" t="s">
        <v>242</v>
      </c>
      <c r="O5" s="437" t="s">
        <v>236</v>
      </c>
      <c r="P5" s="766" t="s">
        <v>201</v>
      </c>
      <c r="Q5" s="437" t="s">
        <v>244</v>
      </c>
      <c r="R5" s="437" t="s">
        <v>250</v>
      </c>
      <c r="S5" s="436" t="s">
        <v>242</v>
      </c>
      <c r="T5" s="437" t="s">
        <v>236</v>
      </c>
      <c r="U5" s="437" t="s">
        <v>201</v>
      </c>
      <c r="V5" s="437" t="s">
        <v>244</v>
      </c>
      <c r="W5" s="436" t="s">
        <v>250</v>
      </c>
    </row>
    <row r="6" spans="1:25">
      <c r="A6" s="713">
        <f>IF(B6&lt;&gt;"",ROW()-(ROW()-1),"")</f>
        <v>1</v>
      </c>
      <c r="B6" s="296" t="s">
        <v>418</v>
      </c>
      <c r="C6" s="728">
        <v>41645</v>
      </c>
      <c r="D6" s="729" t="s">
        <v>419</v>
      </c>
      <c r="E6" s="25">
        <f>R6</f>
        <v>7850890</v>
      </c>
      <c r="F6" s="714">
        <f t="shared" ref="F6:I7" si="0">IF($K$53&lt;&gt;0,F$53/$K$53*$K6,0)</f>
        <v>1231274.2192842488</v>
      </c>
      <c r="G6" s="714">
        <f t="shared" si="0"/>
        <v>149019.45140946738</v>
      </c>
      <c r="H6" s="714">
        <f t="shared" si="0"/>
        <v>1292196.6415925841</v>
      </c>
      <c r="I6" s="714">
        <f t="shared" si="0"/>
        <v>1462939.7462198921</v>
      </c>
      <c r="J6" s="25">
        <f t="shared" ref="J6:J51" si="1">SUM(E6:I6)</f>
        <v>11986320.058506193</v>
      </c>
      <c r="K6" s="714">
        <v>2110</v>
      </c>
      <c r="L6" s="714">
        <f>IF(K6&lt;&gt;"",J6/K6,"")</f>
        <v>5680.7204068749725</v>
      </c>
      <c r="M6" s="629"/>
      <c r="N6" s="296" t="s">
        <v>1360</v>
      </c>
      <c r="O6" s="728">
        <f>C6-3</f>
        <v>41642</v>
      </c>
      <c r="P6" s="301">
        <v>530</v>
      </c>
      <c r="Q6" s="756">
        <v>14813</v>
      </c>
      <c r="R6" s="25">
        <f>ROUND(P6*Q6,0)</f>
        <v>7850890</v>
      </c>
      <c r="S6" s="442" t="s">
        <v>330</v>
      </c>
      <c r="T6" s="730">
        <v>41641</v>
      </c>
      <c r="U6" s="756">
        <v>24</v>
      </c>
      <c r="V6" s="756">
        <v>41000</v>
      </c>
      <c r="W6" s="25">
        <f>U6*V6</f>
        <v>984000</v>
      </c>
    </row>
    <row r="7" spans="1:25">
      <c r="A7" s="1116">
        <f>IF(B7&lt;&gt;"",A6+1,"")</f>
        <v>2</v>
      </c>
      <c r="B7" s="1118" t="s">
        <v>422</v>
      </c>
      <c r="C7" s="1120">
        <v>41645</v>
      </c>
      <c r="D7" s="1122" t="s">
        <v>423</v>
      </c>
      <c r="E7" s="1114">
        <f>R7+R8</f>
        <v>5532837</v>
      </c>
      <c r="F7" s="1114">
        <f t="shared" si="0"/>
        <v>291771.14201048552</v>
      </c>
      <c r="G7" s="1114">
        <f t="shared" si="0"/>
        <v>35312.66621077426</v>
      </c>
      <c r="H7" s="1114">
        <f t="shared" si="0"/>
        <v>306207.73497454601</v>
      </c>
      <c r="I7" s="1114">
        <f t="shared" si="0"/>
        <v>346668.18630803132</v>
      </c>
      <c r="J7" s="1114">
        <f t="shared" si="1"/>
        <v>6512796.7295038374</v>
      </c>
      <c r="K7" s="1114">
        <v>500</v>
      </c>
      <c r="L7" s="1114">
        <f>IF(K7&lt;&gt;"",J7/K7,"")</f>
        <v>13025.593459007674</v>
      </c>
      <c r="M7" s="1124"/>
      <c r="N7" s="296" t="s">
        <v>1338</v>
      </c>
      <c r="O7" s="728">
        <f>C7-3</f>
        <v>41642</v>
      </c>
      <c r="P7" s="8">
        <v>90</v>
      </c>
      <c r="Q7" s="756">
        <v>31288</v>
      </c>
      <c r="R7" s="8">
        <f t="shared" ref="R7:R51" si="2">ROUND(P7*Q7,0)</f>
        <v>2815920</v>
      </c>
      <c r="S7" s="443" t="s">
        <v>1327</v>
      </c>
      <c r="T7" s="730">
        <v>41641</v>
      </c>
      <c r="U7" s="754">
        <v>50</v>
      </c>
      <c r="V7" s="754">
        <v>17500</v>
      </c>
      <c r="W7" s="8">
        <f t="shared" ref="W7" si="3">U7*V7</f>
        <v>875000</v>
      </c>
    </row>
    <row r="8" spans="1:25">
      <c r="A8" s="1117"/>
      <c r="B8" s="1119"/>
      <c r="C8" s="1121"/>
      <c r="D8" s="1123"/>
      <c r="E8" s="1115"/>
      <c r="F8" s="1115"/>
      <c r="G8" s="1115"/>
      <c r="H8" s="1115"/>
      <c r="I8" s="1115"/>
      <c r="J8" s="1115"/>
      <c r="K8" s="1115"/>
      <c r="L8" s="1115"/>
      <c r="M8" s="1124"/>
      <c r="N8" s="296" t="s">
        <v>1339</v>
      </c>
      <c r="O8" s="728">
        <f>O7</f>
        <v>41642</v>
      </c>
      <c r="P8" s="299">
        <v>201</v>
      </c>
      <c r="Q8" s="942">
        <v>13517</v>
      </c>
      <c r="R8" s="8">
        <f t="shared" si="2"/>
        <v>2716917</v>
      </c>
      <c r="S8" s="490"/>
      <c r="T8" s="730"/>
      <c r="U8" s="755"/>
      <c r="V8" s="755"/>
      <c r="W8" s="8"/>
    </row>
    <row r="9" spans="1:25">
      <c r="A9" s="713">
        <f>IF(B9&lt;&gt;"",A7+1,"")</f>
        <v>3</v>
      </c>
      <c r="B9" s="296" t="s">
        <v>446</v>
      </c>
      <c r="C9" s="827">
        <v>41645</v>
      </c>
      <c r="D9" s="732" t="s">
        <v>423</v>
      </c>
      <c r="E9" s="25">
        <f t="shared" ref="E9:E51" si="4">R9</f>
        <v>1617624</v>
      </c>
      <c r="F9" s="714">
        <f t="shared" ref="F9:I11" si="5">IF($K$53&lt;&gt;0,F$53/$K$53*$K9,0)</f>
        <v>583542.28402097104</v>
      </c>
      <c r="G9" s="714">
        <f t="shared" si="5"/>
        <v>70625.332421548519</v>
      </c>
      <c r="H9" s="714">
        <f t="shared" si="5"/>
        <v>612415.46994909202</v>
      </c>
      <c r="I9" s="714">
        <f t="shared" si="5"/>
        <v>693336.37261606264</v>
      </c>
      <c r="J9" s="25">
        <f t="shared" si="1"/>
        <v>3577543.4590076748</v>
      </c>
      <c r="K9" s="257">
        <v>1000</v>
      </c>
      <c r="L9" s="714">
        <f t="shared" ref="L9:L51" si="6">IF(K9&lt;&gt;"",J9/K9,"")</f>
        <v>3577.5434590076748</v>
      </c>
      <c r="M9" s="629"/>
      <c r="N9" s="296" t="s">
        <v>1353</v>
      </c>
      <c r="O9" s="728">
        <f>C9-3</f>
        <v>41642</v>
      </c>
      <c r="P9" s="768">
        <v>108</v>
      </c>
      <c r="Q9" s="755">
        <v>14978</v>
      </c>
      <c r="R9" s="8">
        <f t="shared" si="2"/>
        <v>1617624</v>
      </c>
      <c r="S9" s="490"/>
      <c r="T9" s="730"/>
      <c r="U9" s="755"/>
      <c r="V9" s="755"/>
      <c r="W9" s="8"/>
    </row>
    <row r="10" spans="1:25">
      <c r="A10" s="713">
        <f t="shared" ref="A10:A51" si="7">IF(B10&lt;&gt;"",A9+1,"")</f>
        <v>4</v>
      </c>
      <c r="B10" s="296" t="s">
        <v>424</v>
      </c>
      <c r="C10" s="827">
        <v>41664</v>
      </c>
      <c r="D10" s="732" t="s">
        <v>425</v>
      </c>
      <c r="E10" s="25">
        <f t="shared" si="4"/>
        <v>4086300</v>
      </c>
      <c r="F10" s="714">
        <f t="shared" si="5"/>
        <v>297606.5648506952</v>
      </c>
      <c r="G10" s="714">
        <f t="shared" si="5"/>
        <v>36018.919534989749</v>
      </c>
      <c r="H10" s="714">
        <f t="shared" si="5"/>
        <v>312331.88967403688</v>
      </c>
      <c r="I10" s="714">
        <f t="shared" si="5"/>
        <v>353601.55003419193</v>
      </c>
      <c r="J10" s="25">
        <f t="shared" si="1"/>
        <v>5085858.9240939133</v>
      </c>
      <c r="K10" s="257">
        <v>510</v>
      </c>
      <c r="L10" s="714">
        <f t="shared" si="6"/>
        <v>9972.2724001841434</v>
      </c>
      <c r="M10" s="629"/>
      <c r="N10" s="296" t="s">
        <v>1337</v>
      </c>
      <c r="O10" s="728">
        <f>C10-3</f>
        <v>41661</v>
      </c>
      <c r="P10" s="768">
        <v>300</v>
      </c>
      <c r="Q10" s="755">
        <v>13621</v>
      </c>
      <c r="R10" s="8">
        <f t="shared" si="2"/>
        <v>4086300</v>
      </c>
      <c r="S10" s="490"/>
      <c r="T10" s="730"/>
      <c r="U10" s="755"/>
      <c r="V10" s="755"/>
      <c r="W10" s="8"/>
    </row>
    <row r="11" spans="1:25">
      <c r="A11" s="1116">
        <f t="shared" si="7"/>
        <v>5</v>
      </c>
      <c r="B11" s="1118" t="s">
        <v>427</v>
      </c>
      <c r="C11" s="1120">
        <v>41664</v>
      </c>
      <c r="D11" s="1122" t="s">
        <v>428</v>
      </c>
      <c r="E11" s="1114">
        <f>R11+R12</f>
        <v>4998080</v>
      </c>
      <c r="F11" s="1114">
        <f t="shared" si="5"/>
        <v>328534.3059038067</v>
      </c>
      <c r="G11" s="1114">
        <f t="shared" si="5"/>
        <v>39762.062153331819</v>
      </c>
      <c r="H11" s="1114">
        <f t="shared" si="5"/>
        <v>344789.90958133875</v>
      </c>
      <c r="I11" s="1114">
        <f t="shared" si="5"/>
        <v>390348.37778284325</v>
      </c>
      <c r="J11" s="1114">
        <f t="shared" si="1"/>
        <v>6101514.6554213203</v>
      </c>
      <c r="K11" s="1114">
        <v>563</v>
      </c>
      <c r="L11" s="1114">
        <f t="shared" si="6"/>
        <v>10837.503828457053</v>
      </c>
      <c r="M11" s="1125"/>
      <c r="N11" s="296" t="s">
        <v>1331</v>
      </c>
      <c r="O11" s="728">
        <f>C11-3</f>
        <v>41661</v>
      </c>
      <c r="P11" s="8">
        <v>104</v>
      </c>
      <c r="Q11" s="756">
        <v>24095</v>
      </c>
      <c r="R11" s="8">
        <f t="shared" si="2"/>
        <v>2505880</v>
      </c>
      <c r="S11" s="490"/>
      <c r="T11" s="730"/>
      <c r="U11" s="755"/>
      <c r="V11" s="755"/>
      <c r="W11" s="8"/>
    </row>
    <row r="12" spans="1:25">
      <c r="A12" s="1117"/>
      <c r="B12" s="1119"/>
      <c r="C12" s="1121"/>
      <c r="D12" s="1123"/>
      <c r="E12" s="1115"/>
      <c r="F12" s="1115"/>
      <c r="G12" s="1115"/>
      <c r="H12" s="1115"/>
      <c r="I12" s="1115"/>
      <c r="J12" s="1115"/>
      <c r="K12" s="1115"/>
      <c r="L12" s="1115"/>
      <c r="M12" s="1125"/>
      <c r="N12" s="296" t="s">
        <v>1333</v>
      </c>
      <c r="O12" s="728">
        <f>O11</f>
        <v>41661</v>
      </c>
      <c r="P12" s="299">
        <v>100</v>
      </c>
      <c r="Q12" s="942">
        <v>24922</v>
      </c>
      <c r="R12" s="8">
        <f t="shared" si="2"/>
        <v>2492200</v>
      </c>
      <c r="S12" s="490"/>
      <c r="T12" s="730"/>
      <c r="U12" s="755"/>
      <c r="V12" s="755"/>
      <c r="W12" s="8"/>
    </row>
    <row r="13" spans="1:25">
      <c r="A13" s="713">
        <f>IF(B13&lt;&gt;"",A11+1,"")</f>
        <v>6</v>
      </c>
      <c r="B13" s="296" t="s">
        <v>429</v>
      </c>
      <c r="C13" s="827">
        <v>41664</v>
      </c>
      <c r="D13" s="732" t="s">
        <v>428</v>
      </c>
      <c r="E13" s="25">
        <f t="shared" si="4"/>
        <v>1978000</v>
      </c>
      <c r="F13" s="714">
        <f t="shared" ref="F13:I21" si="8">IF($K$53&lt;&gt;0,F$53/$K$53*$K13,0)</f>
        <v>136548.89446090721</v>
      </c>
      <c r="G13" s="714">
        <f t="shared" si="8"/>
        <v>16526.327786642352</v>
      </c>
      <c r="H13" s="714">
        <f t="shared" si="8"/>
        <v>143305.21996808753</v>
      </c>
      <c r="I13" s="714">
        <f t="shared" si="8"/>
        <v>162240.71119215863</v>
      </c>
      <c r="J13" s="25">
        <f t="shared" si="1"/>
        <v>2436621.1534077954</v>
      </c>
      <c r="K13" s="257">
        <v>234</v>
      </c>
      <c r="L13" s="714">
        <f t="shared" si="6"/>
        <v>10412.910911999126</v>
      </c>
      <c r="M13" s="629"/>
      <c r="N13" s="296" t="s">
        <v>1359</v>
      </c>
      <c r="O13" s="728">
        <f t="shared" ref="O13:O21" si="9">C13-3</f>
        <v>41661</v>
      </c>
      <c r="P13" s="768">
        <v>215</v>
      </c>
      <c r="Q13" s="755">
        <v>9200</v>
      </c>
      <c r="R13" s="8">
        <f t="shared" si="2"/>
        <v>1978000</v>
      </c>
      <c r="S13" s="490"/>
      <c r="T13" s="730"/>
      <c r="U13" s="755"/>
      <c r="V13" s="755"/>
      <c r="W13" s="8"/>
    </row>
    <row r="14" spans="1:25">
      <c r="A14" s="713">
        <f t="shared" si="7"/>
        <v>7</v>
      </c>
      <c r="B14" s="296" t="s">
        <v>430</v>
      </c>
      <c r="C14" s="827">
        <v>41664</v>
      </c>
      <c r="D14" s="732" t="s">
        <v>428</v>
      </c>
      <c r="E14" s="25">
        <f t="shared" si="4"/>
        <v>1140600</v>
      </c>
      <c r="F14" s="714">
        <f t="shared" si="8"/>
        <v>135965.35217688626</v>
      </c>
      <c r="G14" s="714">
        <f t="shared" si="8"/>
        <v>16455.702454220806</v>
      </c>
      <c r="H14" s="714">
        <f t="shared" si="8"/>
        <v>142692.80449813843</v>
      </c>
      <c r="I14" s="714">
        <f t="shared" si="8"/>
        <v>161547.37481954257</v>
      </c>
      <c r="J14" s="25">
        <f t="shared" si="1"/>
        <v>1597261.2339487879</v>
      </c>
      <c r="K14" s="257">
        <v>233</v>
      </c>
      <c r="L14" s="714">
        <f t="shared" si="6"/>
        <v>6855.1984289647553</v>
      </c>
      <c r="M14" s="629"/>
      <c r="N14" s="296" t="s">
        <v>1357</v>
      </c>
      <c r="O14" s="728">
        <f t="shared" si="9"/>
        <v>41661</v>
      </c>
      <c r="P14" s="768">
        <v>50</v>
      </c>
      <c r="Q14" s="755">
        <v>22812</v>
      </c>
      <c r="R14" s="8">
        <f t="shared" si="2"/>
        <v>1140600</v>
      </c>
      <c r="S14" s="490"/>
      <c r="T14" s="730"/>
      <c r="U14" s="755"/>
      <c r="V14" s="755"/>
      <c r="W14" s="8"/>
    </row>
    <row r="15" spans="1:25">
      <c r="A15" s="713">
        <f t="shared" si="7"/>
        <v>8</v>
      </c>
      <c r="B15" s="296" t="s">
        <v>431</v>
      </c>
      <c r="C15" s="827">
        <v>41664</v>
      </c>
      <c r="D15" s="732" t="s">
        <v>428</v>
      </c>
      <c r="E15" s="25">
        <f t="shared" si="4"/>
        <v>2217600</v>
      </c>
      <c r="F15" s="714">
        <f t="shared" si="8"/>
        <v>179731.02347845907</v>
      </c>
      <c r="G15" s="714">
        <f t="shared" si="8"/>
        <v>21752.602385836944</v>
      </c>
      <c r="H15" s="714">
        <f t="shared" si="8"/>
        <v>188623.96474432031</v>
      </c>
      <c r="I15" s="714">
        <f t="shared" si="8"/>
        <v>213547.60276574729</v>
      </c>
      <c r="J15" s="25">
        <f t="shared" si="1"/>
        <v>2821255.1933743637</v>
      </c>
      <c r="K15" s="257">
        <v>308</v>
      </c>
      <c r="L15" s="714">
        <f t="shared" si="6"/>
        <v>9159.919459007675</v>
      </c>
      <c r="M15" s="629"/>
      <c r="N15" s="296" t="s">
        <v>1345</v>
      </c>
      <c r="O15" s="728">
        <f t="shared" si="9"/>
        <v>41661</v>
      </c>
      <c r="P15" s="768">
        <v>150</v>
      </c>
      <c r="Q15" s="755">
        <v>14784</v>
      </c>
      <c r="R15" s="8">
        <f t="shared" si="2"/>
        <v>2217600</v>
      </c>
      <c r="S15" s="490"/>
      <c r="T15" s="730"/>
      <c r="U15" s="755"/>
      <c r="V15" s="755"/>
      <c r="W15" s="8"/>
    </row>
    <row r="16" spans="1:25">
      <c r="A16" s="713">
        <f t="shared" si="7"/>
        <v>9</v>
      </c>
      <c r="B16" s="296" t="s">
        <v>432</v>
      </c>
      <c r="C16" s="827">
        <v>41664</v>
      </c>
      <c r="D16" s="732" t="s">
        <v>433</v>
      </c>
      <c r="E16" s="25">
        <f t="shared" si="4"/>
        <v>9953880</v>
      </c>
      <c r="F16" s="714">
        <f t="shared" si="8"/>
        <v>605716.89081376791</v>
      </c>
      <c r="G16" s="714">
        <f t="shared" si="8"/>
        <v>73309.095053567362</v>
      </c>
      <c r="H16" s="714">
        <f t="shared" si="8"/>
        <v>635687.25780715747</v>
      </c>
      <c r="I16" s="714">
        <f t="shared" si="8"/>
        <v>719683.15477547294</v>
      </c>
      <c r="J16" s="25">
        <f t="shared" si="1"/>
        <v>11988276.398449965</v>
      </c>
      <c r="K16" s="257">
        <v>1038</v>
      </c>
      <c r="L16" s="714">
        <f t="shared" si="6"/>
        <v>11549.3992277938</v>
      </c>
      <c r="M16" s="629"/>
      <c r="N16" s="192" t="s">
        <v>999</v>
      </c>
      <c r="O16" s="728">
        <f t="shared" si="9"/>
        <v>41661</v>
      </c>
      <c r="P16" s="768">
        <v>654</v>
      </c>
      <c r="Q16" s="755">
        <v>15220</v>
      </c>
      <c r="R16" s="8">
        <f t="shared" si="2"/>
        <v>9953880</v>
      </c>
      <c r="S16" s="490"/>
      <c r="T16" s="730"/>
      <c r="U16" s="755"/>
      <c r="V16" s="755"/>
      <c r="W16" s="8"/>
    </row>
    <row r="17" spans="1:23">
      <c r="A17" s="713">
        <f t="shared" si="7"/>
        <v>10</v>
      </c>
      <c r="B17" s="296" t="s">
        <v>434</v>
      </c>
      <c r="C17" s="827">
        <v>41664</v>
      </c>
      <c r="D17" s="732" t="s">
        <v>435</v>
      </c>
      <c r="E17" s="25">
        <f t="shared" si="4"/>
        <v>2321182</v>
      </c>
      <c r="F17" s="714">
        <f t="shared" si="8"/>
        <v>116708.4568041942</v>
      </c>
      <c r="G17" s="714">
        <f t="shared" si="8"/>
        <v>14125.066484309704</v>
      </c>
      <c r="H17" s="714">
        <f t="shared" si="8"/>
        <v>122483.0939898184</v>
      </c>
      <c r="I17" s="714">
        <f t="shared" si="8"/>
        <v>138667.27452321252</v>
      </c>
      <c r="J17" s="25">
        <f t="shared" si="1"/>
        <v>2713165.8918015347</v>
      </c>
      <c r="K17" s="257">
        <v>200</v>
      </c>
      <c r="L17" s="714">
        <f t="shared" si="6"/>
        <v>13565.829459007673</v>
      </c>
      <c r="M17" s="629"/>
      <c r="N17" s="296" t="s">
        <v>1349</v>
      </c>
      <c r="O17" s="728">
        <f t="shared" si="9"/>
        <v>41661</v>
      </c>
      <c r="P17" s="768">
        <v>101</v>
      </c>
      <c r="Q17" s="755">
        <v>22982</v>
      </c>
      <c r="R17" s="8">
        <f t="shared" si="2"/>
        <v>2321182</v>
      </c>
      <c r="S17" s="490"/>
      <c r="T17" s="730"/>
      <c r="U17" s="755"/>
      <c r="V17" s="755"/>
      <c r="W17" s="8"/>
    </row>
    <row r="18" spans="1:23">
      <c r="A18" s="713">
        <f t="shared" si="7"/>
        <v>11</v>
      </c>
      <c r="B18" s="296" t="s">
        <v>437</v>
      </c>
      <c r="C18" s="827">
        <v>41684</v>
      </c>
      <c r="D18" s="732" t="s">
        <v>438</v>
      </c>
      <c r="E18" s="25">
        <f t="shared" si="4"/>
        <v>4522231</v>
      </c>
      <c r="F18" s="714">
        <f t="shared" si="8"/>
        <v>343122.86300433095</v>
      </c>
      <c r="G18" s="714">
        <f t="shared" si="8"/>
        <v>41527.695463870528</v>
      </c>
      <c r="H18" s="714">
        <f t="shared" si="8"/>
        <v>360100.29633006611</v>
      </c>
      <c r="I18" s="714">
        <f t="shared" si="8"/>
        <v>407681.78709824482</v>
      </c>
      <c r="J18" s="25">
        <f t="shared" si="1"/>
        <v>5674663.6418965124</v>
      </c>
      <c r="K18" s="257">
        <v>588</v>
      </c>
      <c r="L18" s="714">
        <f t="shared" si="6"/>
        <v>9650.7885066267208</v>
      </c>
      <c r="M18" s="629"/>
      <c r="N18" s="296" t="s">
        <v>1348</v>
      </c>
      <c r="O18" s="728">
        <f t="shared" si="9"/>
        <v>41681</v>
      </c>
      <c r="P18" s="768">
        <v>203</v>
      </c>
      <c r="Q18" s="755">
        <v>22277</v>
      </c>
      <c r="R18" s="8">
        <f t="shared" si="2"/>
        <v>4522231</v>
      </c>
      <c r="S18" s="490"/>
      <c r="T18" s="730"/>
      <c r="U18" s="755"/>
      <c r="V18" s="755"/>
      <c r="W18" s="8"/>
    </row>
    <row r="19" spans="1:23">
      <c r="A19" s="713">
        <f t="shared" si="7"/>
        <v>12</v>
      </c>
      <c r="B19" s="296" t="s">
        <v>437</v>
      </c>
      <c r="C19" s="827">
        <v>41684</v>
      </c>
      <c r="D19" s="732" t="s">
        <v>438</v>
      </c>
      <c r="E19" s="25">
        <f t="shared" si="4"/>
        <v>4215295</v>
      </c>
      <c r="F19" s="714">
        <f t="shared" si="8"/>
        <v>348958.28584454069</v>
      </c>
      <c r="G19" s="714">
        <f t="shared" si="8"/>
        <v>42233.948788086018</v>
      </c>
      <c r="H19" s="714">
        <f t="shared" si="8"/>
        <v>366224.45102955698</v>
      </c>
      <c r="I19" s="714">
        <f t="shared" si="8"/>
        <v>414615.15082440543</v>
      </c>
      <c r="J19" s="25">
        <f t="shared" si="1"/>
        <v>5387326.8364865882</v>
      </c>
      <c r="K19" s="257">
        <v>598</v>
      </c>
      <c r="L19" s="714">
        <f t="shared" si="6"/>
        <v>9008.9077533220534</v>
      </c>
      <c r="M19" s="629"/>
      <c r="N19" s="296" t="s">
        <v>1347</v>
      </c>
      <c r="O19" s="728">
        <f t="shared" si="9"/>
        <v>41681</v>
      </c>
      <c r="P19" s="768">
        <v>203</v>
      </c>
      <c r="Q19" s="755">
        <v>20765</v>
      </c>
      <c r="R19" s="8">
        <f t="shared" si="2"/>
        <v>4215295</v>
      </c>
      <c r="S19" s="490"/>
      <c r="T19" s="730"/>
      <c r="U19" s="755"/>
      <c r="V19" s="755"/>
      <c r="W19" s="8"/>
    </row>
    <row r="20" spans="1:23">
      <c r="A20" s="713">
        <f t="shared" si="7"/>
        <v>13</v>
      </c>
      <c r="B20" s="296" t="s">
        <v>440</v>
      </c>
      <c r="C20" s="827">
        <v>41689</v>
      </c>
      <c r="D20" s="732" t="s">
        <v>441</v>
      </c>
      <c r="E20" s="25">
        <f t="shared" si="4"/>
        <v>2389000</v>
      </c>
      <c r="F20" s="714">
        <f t="shared" si="8"/>
        <v>93366.765443355369</v>
      </c>
      <c r="G20" s="714">
        <f t="shared" si="8"/>
        <v>11300.053187447764</v>
      </c>
      <c r="H20" s="714">
        <f t="shared" si="8"/>
        <v>97986.475191854712</v>
      </c>
      <c r="I20" s="714">
        <f t="shared" si="8"/>
        <v>110933.81961857001</v>
      </c>
      <c r="J20" s="25">
        <f t="shared" si="1"/>
        <v>2702587.1134412279</v>
      </c>
      <c r="K20" s="257">
        <v>160</v>
      </c>
      <c r="L20" s="714">
        <f t="shared" si="6"/>
        <v>16891.169459007673</v>
      </c>
      <c r="M20" s="629"/>
      <c r="N20" s="296" t="s">
        <v>1350</v>
      </c>
      <c r="O20" s="728">
        <f t="shared" si="9"/>
        <v>41686</v>
      </c>
      <c r="P20" s="768">
        <v>100</v>
      </c>
      <c r="Q20" s="755">
        <v>23890</v>
      </c>
      <c r="R20" s="8">
        <f t="shared" si="2"/>
        <v>2389000</v>
      </c>
      <c r="S20" s="490"/>
      <c r="T20" s="730"/>
      <c r="U20" s="755"/>
      <c r="V20" s="755"/>
      <c r="W20" s="8"/>
    </row>
    <row r="21" spans="1:23">
      <c r="A21" s="1116">
        <f t="shared" si="7"/>
        <v>14</v>
      </c>
      <c r="B21" s="1118" t="s">
        <v>424</v>
      </c>
      <c r="C21" s="1120">
        <v>41690</v>
      </c>
      <c r="D21" s="1122" t="s">
        <v>443</v>
      </c>
      <c r="E21" s="1114">
        <f>R21+R22</f>
        <v>4505800</v>
      </c>
      <c r="F21" s="1114">
        <f t="shared" si="8"/>
        <v>291771.14201048552</v>
      </c>
      <c r="G21" s="1114">
        <f t="shared" si="8"/>
        <v>35312.66621077426</v>
      </c>
      <c r="H21" s="1114">
        <f t="shared" si="8"/>
        <v>306207.73497454601</v>
      </c>
      <c r="I21" s="1114">
        <f t="shared" si="8"/>
        <v>346668.18630803132</v>
      </c>
      <c r="J21" s="1114">
        <f t="shared" si="1"/>
        <v>5485759.7295038374</v>
      </c>
      <c r="K21" s="1114">
        <v>500</v>
      </c>
      <c r="L21" s="1114">
        <f t="shared" si="6"/>
        <v>10971.519459007675</v>
      </c>
      <c r="M21" s="629"/>
      <c r="N21" s="296" t="s">
        <v>1328</v>
      </c>
      <c r="O21" s="728">
        <f t="shared" si="9"/>
        <v>41687</v>
      </c>
      <c r="P21" s="768">
        <v>100</v>
      </c>
      <c r="Q21" s="755">
        <v>23210</v>
      </c>
      <c r="R21" s="8">
        <f t="shared" si="2"/>
        <v>2321000</v>
      </c>
      <c r="S21" s="490"/>
      <c r="T21" s="730"/>
      <c r="U21" s="755"/>
      <c r="V21" s="755"/>
      <c r="W21" s="8"/>
    </row>
    <row r="22" spans="1:23">
      <c r="A22" s="1117"/>
      <c r="B22" s="1119"/>
      <c r="C22" s="1121"/>
      <c r="D22" s="1123"/>
      <c r="E22" s="1115"/>
      <c r="F22" s="1115"/>
      <c r="G22" s="1115"/>
      <c r="H22" s="1115"/>
      <c r="I22" s="1115"/>
      <c r="J22" s="1115"/>
      <c r="K22" s="1115"/>
      <c r="L22" s="1115"/>
      <c r="M22" s="629"/>
      <c r="N22" s="296" t="s">
        <v>1329</v>
      </c>
      <c r="O22" s="728">
        <f>O21</f>
        <v>41687</v>
      </c>
      <c r="P22" s="768">
        <v>100</v>
      </c>
      <c r="Q22" s="942">
        <v>21848</v>
      </c>
      <c r="R22" s="8">
        <f t="shared" si="2"/>
        <v>2184800</v>
      </c>
      <c r="S22" s="490"/>
      <c r="T22" s="730"/>
      <c r="U22" s="755"/>
      <c r="V22" s="755"/>
      <c r="W22" s="8"/>
    </row>
    <row r="23" spans="1:23">
      <c r="A23" s="713">
        <f>IF(B23&lt;&gt;"",A21+1,"")</f>
        <v>15</v>
      </c>
      <c r="B23" s="296" t="s">
        <v>437</v>
      </c>
      <c r="C23" s="827">
        <v>41691</v>
      </c>
      <c r="D23" s="732" t="s">
        <v>444</v>
      </c>
      <c r="E23" s="25">
        <f t="shared" si="4"/>
        <v>4517965</v>
      </c>
      <c r="F23" s="714">
        <f t="shared" ref="F23:I24" si="10">IF($K$53&lt;&gt;0,F$53/$K$53*$K23,0)</f>
        <v>354793.70868475037</v>
      </c>
      <c r="G23" s="714">
        <f t="shared" si="10"/>
        <v>42940.2021123015</v>
      </c>
      <c r="H23" s="714">
        <f t="shared" si="10"/>
        <v>372348.60572904791</v>
      </c>
      <c r="I23" s="714">
        <f t="shared" si="10"/>
        <v>421548.51455056603</v>
      </c>
      <c r="J23" s="25">
        <f t="shared" si="1"/>
        <v>5709596.031076665</v>
      </c>
      <c r="K23" s="257">
        <v>608</v>
      </c>
      <c r="L23" s="714">
        <f t="shared" si="6"/>
        <v>9390.7829458497781</v>
      </c>
      <c r="M23" s="629"/>
      <c r="N23" s="296" t="s">
        <v>1360</v>
      </c>
      <c r="O23" s="728">
        <f>C23-3</f>
        <v>41688</v>
      </c>
      <c r="P23" s="8">
        <v>305</v>
      </c>
      <c r="Q23" s="756">
        <v>14813</v>
      </c>
      <c r="R23" s="8">
        <f t="shared" si="2"/>
        <v>4517965</v>
      </c>
      <c r="S23" s="490"/>
      <c r="T23" s="730"/>
      <c r="U23" s="755"/>
      <c r="V23" s="755"/>
      <c r="W23" s="8"/>
    </row>
    <row r="24" spans="1:23">
      <c r="A24" s="1116">
        <f t="shared" si="7"/>
        <v>16</v>
      </c>
      <c r="B24" s="1118" t="s">
        <v>437</v>
      </c>
      <c r="C24" s="1120">
        <v>41691</v>
      </c>
      <c r="D24" s="1122" t="s">
        <v>444</v>
      </c>
      <c r="E24" s="1114">
        <f>R24+R25</f>
        <v>5111114</v>
      </c>
      <c r="F24" s="1114">
        <f t="shared" si="10"/>
        <v>369382.26578527468</v>
      </c>
      <c r="G24" s="1114">
        <f t="shared" si="10"/>
        <v>44705.835422840217</v>
      </c>
      <c r="H24" s="1114">
        <f t="shared" si="10"/>
        <v>387658.9924777752</v>
      </c>
      <c r="I24" s="1114">
        <f t="shared" si="10"/>
        <v>438881.9238659676</v>
      </c>
      <c r="J24" s="1114">
        <f t="shared" si="1"/>
        <v>6351743.017551858</v>
      </c>
      <c r="K24" s="1114">
        <v>633</v>
      </c>
      <c r="L24" s="1114">
        <f t="shared" si="6"/>
        <v>10034.349158849696</v>
      </c>
      <c r="M24" s="629"/>
      <c r="N24" s="296" t="s">
        <v>1335</v>
      </c>
      <c r="O24" s="728">
        <f>C24-3</f>
        <v>41688</v>
      </c>
      <c r="P24" s="768">
        <v>188</v>
      </c>
      <c r="Q24" s="755">
        <v>13125</v>
      </c>
      <c r="R24" s="8">
        <f t="shared" si="2"/>
        <v>2467500</v>
      </c>
      <c r="S24" s="490"/>
      <c r="T24" s="730"/>
      <c r="U24" s="755"/>
      <c r="V24" s="755"/>
      <c r="W24" s="8"/>
    </row>
    <row r="25" spans="1:23">
      <c r="A25" s="1117"/>
      <c r="B25" s="1119"/>
      <c r="C25" s="1121"/>
      <c r="D25" s="1123"/>
      <c r="E25" s="1115"/>
      <c r="F25" s="1115"/>
      <c r="G25" s="1115"/>
      <c r="H25" s="1115"/>
      <c r="I25" s="1115"/>
      <c r="J25" s="1115"/>
      <c r="K25" s="1115"/>
      <c r="L25" s="1115"/>
      <c r="M25" s="629"/>
      <c r="N25" s="296" t="s">
        <v>1341</v>
      </c>
      <c r="O25" s="728">
        <f>O24</f>
        <v>41688</v>
      </c>
      <c r="P25" s="768">
        <v>142</v>
      </c>
      <c r="Q25" s="755">
        <v>18617</v>
      </c>
      <c r="R25" s="8">
        <f t="shared" si="2"/>
        <v>2643614</v>
      </c>
      <c r="S25" s="490"/>
      <c r="T25" s="730"/>
      <c r="U25" s="755"/>
      <c r="V25" s="755"/>
      <c r="W25" s="8"/>
    </row>
    <row r="26" spans="1:23">
      <c r="A26" s="713">
        <f>IF(B26&lt;&gt;"",A24+1,"")</f>
        <v>17</v>
      </c>
      <c r="B26" s="296" t="s">
        <v>422</v>
      </c>
      <c r="C26" s="827">
        <v>41694</v>
      </c>
      <c r="D26" s="732" t="s">
        <v>445</v>
      </c>
      <c r="E26" s="25">
        <f t="shared" si="4"/>
        <v>6725750</v>
      </c>
      <c r="F26" s="714">
        <f t="shared" ref="F26:I29" si="11">IF($K$53&lt;&gt;0,F$53/$K$53*$K26,0)</f>
        <v>285935.71917027578</v>
      </c>
      <c r="G26" s="714">
        <f t="shared" si="11"/>
        <v>34606.412886558777</v>
      </c>
      <c r="H26" s="714">
        <f t="shared" si="11"/>
        <v>300083.58027505508</v>
      </c>
      <c r="I26" s="714">
        <f t="shared" si="11"/>
        <v>339734.82258187066</v>
      </c>
      <c r="J26" s="25">
        <f t="shared" si="1"/>
        <v>7686110.5349137606</v>
      </c>
      <c r="K26" s="257">
        <v>490</v>
      </c>
      <c r="L26" s="714">
        <f t="shared" si="6"/>
        <v>15685.93986717094</v>
      </c>
      <c r="M26" s="629"/>
      <c r="N26" s="296" t="s">
        <v>1358</v>
      </c>
      <c r="O26" s="728">
        <f t="shared" ref="O26:O51" si="12">C26-3</f>
        <v>41691</v>
      </c>
      <c r="P26" s="768">
        <v>250</v>
      </c>
      <c r="Q26" s="755">
        <v>26903</v>
      </c>
      <c r="R26" s="8">
        <f t="shared" si="2"/>
        <v>6725750</v>
      </c>
      <c r="S26" s="490"/>
      <c r="T26" s="730"/>
      <c r="U26" s="755"/>
      <c r="V26" s="755"/>
      <c r="W26" s="8"/>
    </row>
    <row r="27" spans="1:23">
      <c r="A27" s="713">
        <f t="shared" si="7"/>
        <v>18</v>
      </c>
      <c r="B27" s="296" t="s">
        <v>446</v>
      </c>
      <c r="C27" s="827">
        <v>41694</v>
      </c>
      <c r="D27" s="732" t="s">
        <v>445</v>
      </c>
      <c r="E27" s="25">
        <f t="shared" si="4"/>
        <v>1021000</v>
      </c>
      <c r="F27" s="714">
        <f t="shared" si="11"/>
        <v>571871.43834055157</v>
      </c>
      <c r="G27" s="714">
        <f t="shared" si="11"/>
        <v>69212.825773117554</v>
      </c>
      <c r="H27" s="714">
        <f t="shared" si="11"/>
        <v>600167.16055011016</v>
      </c>
      <c r="I27" s="714">
        <f t="shared" si="11"/>
        <v>679469.64516374131</v>
      </c>
      <c r="J27" s="25">
        <f t="shared" si="1"/>
        <v>2941721.0698275208</v>
      </c>
      <c r="K27" s="257">
        <v>980</v>
      </c>
      <c r="L27" s="714">
        <f t="shared" si="6"/>
        <v>3001.7561937015516</v>
      </c>
      <c r="M27" s="629"/>
      <c r="N27" s="296" t="s">
        <v>1355</v>
      </c>
      <c r="O27" s="728">
        <f t="shared" si="12"/>
        <v>41691</v>
      </c>
      <c r="P27" s="768">
        <v>50</v>
      </c>
      <c r="Q27" s="755">
        <v>20420</v>
      </c>
      <c r="R27" s="8">
        <f t="shared" si="2"/>
        <v>1021000</v>
      </c>
      <c r="S27" s="490"/>
      <c r="T27" s="730"/>
      <c r="U27" s="755"/>
      <c r="V27" s="755"/>
      <c r="W27" s="8"/>
    </row>
    <row r="28" spans="1:23">
      <c r="A28" s="713">
        <f t="shared" si="7"/>
        <v>19</v>
      </c>
      <c r="B28" s="296" t="s">
        <v>447</v>
      </c>
      <c r="C28" s="827">
        <v>41697</v>
      </c>
      <c r="D28" s="732" t="s">
        <v>448</v>
      </c>
      <c r="E28" s="25">
        <f t="shared" si="4"/>
        <v>7610000</v>
      </c>
      <c r="F28" s="714">
        <f t="shared" si="11"/>
        <v>1458855.7100524276</v>
      </c>
      <c r="G28" s="714">
        <f t="shared" si="11"/>
        <v>176563.33105387131</v>
      </c>
      <c r="H28" s="714">
        <f t="shared" si="11"/>
        <v>1531038.6748727299</v>
      </c>
      <c r="I28" s="714">
        <f t="shared" si="11"/>
        <v>1733340.9315401565</v>
      </c>
      <c r="J28" s="25">
        <f t="shared" si="1"/>
        <v>12509798.647519184</v>
      </c>
      <c r="K28" s="257">
        <v>2500</v>
      </c>
      <c r="L28" s="714">
        <f t="shared" si="6"/>
        <v>5003.919459007674</v>
      </c>
      <c r="M28" s="629"/>
      <c r="N28" s="192" t="s">
        <v>999</v>
      </c>
      <c r="O28" s="728">
        <f t="shared" si="12"/>
        <v>41694</v>
      </c>
      <c r="P28" s="768">
        <v>500</v>
      </c>
      <c r="Q28" s="755">
        <v>15220</v>
      </c>
      <c r="R28" s="8">
        <f t="shared" si="2"/>
        <v>7610000</v>
      </c>
      <c r="S28" s="490"/>
      <c r="T28" s="730"/>
      <c r="U28" s="755"/>
      <c r="V28" s="755"/>
      <c r="W28" s="8"/>
    </row>
    <row r="29" spans="1:23">
      <c r="A29" s="713">
        <f t="shared" si="7"/>
        <v>20</v>
      </c>
      <c r="B29" s="296" t="s">
        <v>449</v>
      </c>
      <c r="C29" s="827">
        <v>41698</v>
      </c>
      <c r="D29" s="732" t="s">
        <v>450</v>
      </c>
      <c r="E29" s="25">
        <f t="shared" si="4"/>
        <v>1709775</v>
      </c>
      <c r="F29" s="714">
        <f t="shared" si="11"/>
        <v>182648.73489856394</v>
      </c>
      <c r="G29" s="714">
        <f t="shared" si="11"/>
        <v>22105.729047944686</v>
      </c>
      <c r="H29" s="714">
        <f t="shared" si="11"/>
        <v>191686.04209406578</v>
      </c>
      <c r="I29" s="714">
        <f t="shared" si="11"/>
        <v>217014.28462882759</v>
      </c>
      <c r="J29" s="25">
        <f t="shared" si="1"/>
        <v>2323229.7906694021</v>
      </c>
      <c r="K29" s="257">
        <v>313</v>
      </c>
      <c r="L29" s="714">
        <f t="shared" si="6"/>
        <v>7422.4593951099105</v>
      </c>
      <c r="M29" s="629"/>
      <c r="N29" s="296" t="s">
        <v>1365</v>
      </c>
      <c r="O29" s="728">
        <f t="shared" si="12"/>
        <v>41695</v>
      </c>
      <c r="P29" s="768">
        <v>135</v>
      </c>
      <c r="Q29" s="755">
        <v>12665</v>
      </c>
      <c r="R29" s="8">
        <f t="shared" si="2"/>
        <v>1709775</v>
      </c>
      <c r="S29" s="490"/>
      <c r="T29" s="730"/>
      <c r="U29" s="755"/>
      <c r="V29" s="755"/>
      <c r="W29" s="8"/>
    </row>
    <row r="30" spans="1:23">
      <c r="A30" s="713">
        <f t="shared" si="7"/>
        <v>21</v>
      </c>
      <c r="B30" s="296" t="s">
        <v>431</v>
      </c>
      <c r="C30" s="827">
        <v>41698</v>
      </c>
      <c r="D30" s="732" t="s">
        <v>450</v>
      </c>
      <c r="E30" s="25">
        <f t="shared" si="4"/>
        <v>4111348</v>
      </c>
      <c r="F30" s="714">
        <f t="shared" ref="F30:I51" si="13">IF($K$53&lt;&gt;0,F$53/$K$53*$K30,0)</f>
        <v>341955.77843628899</v>
      </c>
      <c r="G30" s="714">
        <f t="shared" si="13"/>
        <v>41386.444799027435</v>
      </c>
      <c r="H30" s="714">
        <f t="shared" si="13"/>
        <v>358875.4653901679</v>
      </c>
      <c r="I30" s="714">
        <f t="shared" si="13"/>
        <v>406295.1143530127</v>
      </c>
      <c r="J30" s="25">
        <f t="shared" si="1"/>
        <v>5259860.802978497</v>
      </c>
      <c r="K30" s="257">
        <v>586</v>
      </c>
      <c r="L30" s="714">
        <f t="shared" si="6"/>
        <v>8975.8716774377081</v>
      </c>
      <c r="M30" s="629"/>
      <c r="N30" s="296" t="s">
        <v>1346</v>
      </c>
      <c r="O30" s="728">
        <f t="shared" si="12"/>
        <v>41695</v>
      </c>
      <c r="P30" s="768">
        <v>206</v>
      </c>
      <c r="Q30" s="755">
        <v>19958</v>
      </c>
      <c r="R30" s="8">
        <f t="shared" si="2"/>
        <v>4111348</v>
      </c>
      <c r="S30" s="490"/>
      <c r="T30" s="730"/>
      <c r="U30" s="755"/>
      <c r="V30" s="755"/>
      <c r="W30" s="8"/>
    </row>
    <row r="31" spans="1:23">
      <c r="A31" s="713">
        <f t="shared" si="7"/>
        <v>22</v>
      </c>
      <c r="B31" s="296" t="s">
        <v>451</v>
      </c>
      <c r="C31" s="827">
        <v>41698</v>
      </c>
      <c r="D31" s="732" t="s">
        <v>450</v>
      </c>
      <c r="E31" s="25">
        <f t="shared" si="4"/>
        <v>3435742</v>
      </c>
      <c r="F31" s="714">
        <f t="shared" si="13"/>
        <v>180898.108046501</v>
      </c>
      <c r="G31" s="714">
        <f t="shared" si="13"/>
        <v>21893.853050680042</v>
      </c>
      <c r="H31" s="714">
        <f t="shared" si="13"/>
        <v>189848.79568421852</v>
      </c>
      <c r="I31" s="714">
        <f t="shared" si="13"/>
        <v>214934.27551097941</v>
      </c>
      <c r="J31" s="25">
        <f t="shared" si="1"/>
        <v>4043317.0322923786</v>
      </c>
      <c r="K31" s="257">
        <v>310</v>
      </c>
      <c r="L31" s="714">
        <f t="shared" si="6"/>
        <v>13042.958168685092</v>
      </c>
      <c r="M31" s="629"/>
      <c r="N31" s="296" t="s">
        <v>1363</v>
      </c>
      <c r="O31" s="728">
        <f t="shared" si="12"/>
        <v>41695</v>
      </c>
      <c r="P31" s="768">
        <v>406</v>
      </c>
      <c r="Q31" s="755">
        <v>8462.4187192118225</v>
      </c>
      <c r="R31" s="8">
        <f t="shared" si="2"/>
        <v>3435742</v>
      </c>
      <c r="S31" s="490"/>
      <c r="T31" s="730"/>
      <c r="U31" s="755"/>
      <c r="V31" s="755"/>
      <c r="W31" s="8"/>
    </row>
    <row r="32" spans="1:23">
      <c r="A32" s="713">
        <f t="shared" si="7"/>
        <v>23</v>
      </c>
      <c r="B32" s="296" t="s">
        <v>452</v>
      </c>
      <c r="C32" s="827">
        <v>41698</v>
      </c>
      <c r="D32" s="732" t="s">
        <v>450</v>
      </c>
      <c r="E32" s="25">
        <f t="shared" si="4"/>
        <v>1449350</v>
      </c>
      <c r="F32" s="714">
        <f t="shared" si="13"/>
        <v>116708.4568041942</v>
      </c>
      <c r="G32" s="714">
        <f t="shared" si="13"/>
        <v>14125.066484309704</v>
      </c>
      <c r="H32" s="714">
        <f t="shared" si="13"/>
        <v>122483.0939898184</v>
      </c>
      <c r="I32" s="714">
        <f t="shared" si="13"/>
        <v>138667.27452321252</v>
      </c>
      <c r="J32" s="25">
        <f t="shared" si="1"/>
        <v>1841333.8918015349</v>
      </c>
      <c r="K32" s="257">
        <v>200</v>
      </c>
      <c r="L32" s="714">
        <f t="shared" si="6"/>
        <v>9206.669459007675</v>
      </c>
      <c r="M32" s="629"/>
      <c r="N32" s="296" t="s">
        <v>1330</v>
      </c>
      <c r="O32" s="728">
        <f t="shared" si="12"/>
        <v>41695</v>
      </c>
      <c r="P32" s="768">
        <v>50</v>
      </c>
      <c r="Q32" s="755">
        <v>28987</v>
      </c>
      <c r="R32" s="8">
        <f t="shared" si="2"/>
        <v>1449350</v>
      </c>
      <c r="S32" s="490"/>
      <c r="T32" s="730"/>
      <c r="U32" s="755"/>
      <c r="V32" s="755"/>
      <c r="W32" s="8"/>
    </row>
    <row r="33" spans="1:23">
      <c r="A33" s="713">
        <f t="shared" si="7"/>
        <v>24</v>
      </c>
      <c r="B33" s="296" t="s">
        <v>453</v>
      </c>
      <c r="C33" s="827">
        <v>41698</v>
      </c>
      <c r="D33" s="732" t="s">
        <v>454</v>
      </c>
      <c r="E33" s="25">
        <f t="shared" si="4"/>
        <v>2318400</v>
      </c>
      <c r="F33" s="714">
        <f t="shared" si="13"/>
        <v>122543.87964440392</v>
      </c>
      <c r="G33" s="714">
        <f t="shared" si="13"/>
        <v>14831.31980852519</v>
      </c>
      <c r="H33" s="714">
        <f t="shared" si="13"/>
        <v>128607.24868930932</v>
      </c>
      <c r="I33" s="714">
        <f t="shared" si="13"/>
        <v>145600.63824937315</v>
      </c>
      <c r="J33" s="25">
        <f t="shared" si="1"/>
        <v>2729983.086391611</v>
      </c>
      <c r="K33" s="257">
        <v>210</v>
      </c>
      <c r="L33" s="714">
        <f t="shared" si="6"/>
        <v>12999.919459007671</v>
      </c>
      <c r="M33" s="629"/>
      <c r="N33" s="296" t="s">
        <v>1354</v>
      </c>
      <c r="O33" s="728">
        <f t="shared" si="12"/>
        <v>41695</v>
      </c>
      <c r="P33" s="768">
        <v>150</v>
      </c>
      <c r="Q33" s="755">
        <v>15456</v>
      </c>
      <c r="R33" s="8">
        <f t="shared" si="2"/>
        <v>2318400</v>
      </c>
      <c r="S33" s="490"/>
      <c r="T33" s="730"/>
      <c r="U33" s="755"/>
      <c r="V33" s="755"/>
      <c r="W33" s="8"/>
    </row>
    <row r="34" spans="1:23">
      <c r="A34" s="713">
        <f t="shared" si="7"/>
        <v>25</v>
      </c>
      <c r="B34" s="296" t="s">
        <v>456</v>
      </c>
      <c r="C34" s="827">
        <v>41698</v>
      </c>
      <c r="D34" s="732" t="s">
        <v>454</v>
      </c>
      <c r="E34" s="25">
        <f t="shared" si="4"/>
        <v>2495232</v>
      </c>
      <c r="F34" s="714">
        <f t="shared" si="13"/>
        <v>145885.57100524276</v>
      </c>
      <c r="G34" s="714">
        <f t="shared" si="13"/>
        <v>17656.33310538713</v>
      </c>
      <c r="H34" s="714">
        <f t="shared" si="13"/>
        <v>153103.867487273</v>
      </c>
      <c r="I34" s="714">
        <f t="shared" si="13"/>
        <v>173334.09315401566</v>
      </c>
      <c r="J34" s="25">
        <f t="shared" si="1"/>
        <v>2985211.8647519187</v>
      </c>
      <c r="K34" s="257">
        <v>250</v>
      </c>
      <c r="L34" s="714">
        <f t="shared" si="6"/>
        <v>11940.847459007675</v>
      </c>
      <c r="M34" s="629"/>
      <c r="N34" s="296" t="s">
        <v>1351</v>
      </c>
      <c r="O34" s="728">
        <f t="shared" si="12"/>
        <v>41695</v>
      </c>
      <c r="P34" s="768">
        <v>114</v>
      </c>
      <c r="Q34" s="755">
        <v>21888</v>
      </c>
      <c r="R34" s="8">
        <f t="shared" si="2"/>
        <v>2495232</v>
      </c>
      <c r="S34" s="490"/>
      <c r="T34" s="730"/>
      <c r="U34" s="755"/>
      <c r="V34" s="755"/>
      <c r="W34" s="8"/>
    </row>
    <row r="35" spans="1:23">
      <c r="A35" s="713">
        <f t="shared" si="7"/>
        <v>26</v>
      </c>
      <c r="B35" s="296" t="s">
        <v>457</v>
      </c>
      <c r="C35" s="827">
        <v>41698</v>
      </c>
      <c r="D35" s="732" t="s">
        <v>454</v>
      </c>
      <c r="E35" s="25">
        <f t="shared" si="4"/>
        <v>753662</v>
      </c>
      <c r="F35" s="714">
        <f t="shared" si="13"/>
        <v>58354.228402097098</v>
      </c>
      <c r="G35" s="714">
        <f t="shared" si="13"/>
        <v>7062.5332421548519</v>
      </c>
      <c r="H35" s="714">
        <f t="shared" si="13"/>
        <v>61241.5469949092</v>
      </c>
      <c r="I35" s="714">
        <f t="shared" si="13"/>
        <v>69333.637261606258</v>
      </c>
      <c r="J35" s="25">
        <f t="shared" si="1"/>
        <v>949653.94590076746</v>
      </c>
      <c r="K35" s="257">
        <v>100</v>
      </c>
      <c r="L35" s="714">
        <f t="shared" si="6"/>
        <v>9496.5394590076739</v>
      </c>
      <c r="M35" s="629"/>
      <c r="N35" s="296" t="s">
        <v>1330</v>
      </c>
      <c r="O35" s="728">
        <f t="shared" si="12"/>
        <v>41695</v>
      </c>
      <c r="P35" s="768">
        <v>26</v>
      </c>
      <c r="Q35" s="755">
        <v>28987</v>
      </c>
      <c r="R35" s="8">
        <f t="shared" si="2"/>
        <v>753662</v>
      </c>
      <c r="S35" s="490"/>
      <c r="T35" s="730"/>
      <c r="U35" s="755"/>
      <c r="V35" s="755"/>
      <c r="W35" s="8"/>
    </row>
    <row r="36" spans="1:23">
      <c r="A36" s="713">
        <f t="shared" si="7"/>
        <v>27</v>
      </c>
      <c r="B36" s="296" t="s">
        <v>447</v>
      </c>
      <c r="C36" s="827">
        <v>41698</v>
      </c>
      <c r="D36" s="732" t="s">
        <v>458</v>
      </c>
      <c r="E36" s="25">
        <f t="shared" si="4"/>
        <v>2560300</v>
      </c>
      <c r="F36" s="714">
        <f t="shared" si="13"/>
        <v>291771.14201048552</v>
      </c>
      <c r="G36" s="714">
        <f t="shared" si="13"/>
        <v>35312.66621077426</v>
      </c>
      <c r="H36" s="714">
        <f t="shared" si="13"/>
        <v>306207.73497454601</v>
      </c>
      <c r="I36" s="714">
        <f t="shared" si="13"/>
        <v>346668.18630803132</v>
      </c>
      <c r="J36" s="25">
        <f t="shared" si="1"/>
        <v>3540259.7295038374</v>
      </c>
      <c r="K36" s="257">
        <v>500</v>
      </c>
      <c r="L36" s="714">
        <f t="shared" si="6"/>
        <v>7080.5194590076744</v>
      </c>
      <c r="M36" s="629"/>
      <c r="N36" s="296" t="s">
        <v>1352</v>
      </c>
      <c r="O36" s="728">
        <f t="shared" si="12"/>
        <v>41695</v>
      </c>
      <c r="P36" s="768">
        <v>100</v>
      </c>
      <c r="Q36" s="755">
        <v>25603</v>
      </c>
      <c r="R36" s="8">
        <f t="shared" si="2"/>
        <v>2560300</v>
      </c>
      <c r="S36" s="490"/>
      <c r="T36" s="730"/>
      <c r="U36" s="755"/>
      <c r="V36" s="755"/>
      <c r="W36" s="8"/>
    </row>
    <row r="37" spans="1:23">
      <c r="A37" s="713">
        <f t="shared" si="7"/>
        <v>28</v>
      </c>
      <c r="B37" s="296" t="s">
        <v>460</v>
      </c>
      <c r="C37" s="827">
        <v>41702</v>
      </c>
      <c r="D37" s="732" t="s">
        <v>461</v>
      </c>
      <c r="E37" s="25">
        <f t="shared" si="4"/>
        <v>8040000</v>
      </c>
      <c r="F37" s="714">
        <f t="shared" si="13"/>
        <v>650649.64668338269</v>
      </c>
      <c r="G37" s="714">
        <f t="shared" si="13"/>
        <v>78747.245650026598</v>
      </c>
      <c r="H37" s="714">
        <f t="shared" si="13"/>
        <v>682843.2489932375</v>
      </c>
      <c r="I37" s="714">
        <f t="shared" si="13"/>
        <v>773070.05546690978</v>
      </c>
      <c r="J37" s="25">
        <f t="shared" si="1"/>
        <v>10225310.196793556</v>
      </c>
      <c r="K37" s="257">
        <v>1115</v>
      </c>
      <c r="L37" s="714">
        <f t="shared" si="6"/>
        <v>9170.6817908462381</v>
      </c>
      <c r="M37" s="629"/>
      <c r="N37" s="192" t="s">
        <v>1001</v>
      </c>
      <c r="O37" s="728">
        <f t="shared" si="12"/>
        <v>41699</v>
      </c>
      <c r="P37" s="768">
        <v>600</v>
      </c>
      <c r="Q37" s="755">
        <v>13400</v>
      </c>
      <c r="R37" s="8">
        <f t="shared" si="2"/>
        <v>8040000</v>
      </c>
      <c r="S37" s="490"/>
      <c r="T37" s="730"/>
      <c r="U37" s="755"/>
      <c r="V37" s="755"/>
      <c r="W37" s="8"/>
    </row>
    <row r="38" spans="1:23">
      <c r="A38" s="713">
        <f t="shared" si="7"/>
        <v>29</v>
      </c>
      <c r="B38" s="296" t="s">
        <v>424</v>
      </c>
      <c r="C38" s="827">
        <v>41704</v>
      </c>
      <c r="D38" s="732" t="s">
        <v>463</v>
      </c>
      <c r="E38" s="25">
        <f t="shared" si="4"/>
        <v>4448000</v>
      </c>
      <c r="F38" s="714">
        <f t="shared" si="13"/>
        <v>294688.85343059036</v>
      </c>
      <c r="G38" s="714">
        <f t="shared" si="13"/>
        <v>35665.792872882004</v>
      </c>
      <c r="H38" s="714">
        <f t="shared" si="13"/>
        <v>309269.81232429144</v>
      </c>
      <c r="I38" s="714">
        <f t="shared" si="13"/>
        <v>350134.86817111162</v>
      </c>
      <c r="J38" s="25">
        <f t="shared" si="1"/>
        <v>5437759.3267988758</v>
      </c>
      <c r="K38" s="257">
        <v>505</v>
      </c>
      <c r="L38" s="714">
        <f t="shared" si="6"/>
        <v>10767.840251086884</v>
      </c>
      <c r="M38" s="629"/>
      <c r="N38" s="296" t="s">
        <v>1361</v>
      </c>
      <c r="O38" s="728">
        <f t="shared" si="12"/>
        <v>41701</v>
      </c>
      <c r="P38" s="768">
        <v>250</v>
      </c>
      <c r="Q38" s="755">
        <v>17792</v>
      </c>
      <c r="R38" s="8">
        <f t="shared" si="2"/>
        <v>4448000</v>
      </c>
      <c r="S38" s="490"/>
      <c r="T38" s="730"/>
      <c r="U38" s="755"/>
      <c r="V38" s="755"/>
      <c r="W38" s="8"/>
    </row>
    <row r="39" spans="1:23">
      <c r="A39" s="713">
        <f t="shared" si="7"/>
        <v>30</v>
      </c>
      <c r="B39" s="296" t="s">
        <v>464</v>
      </c>
      <c r="C39" s="827">
        <v>41704</v>
      </c>
      <c r="D39" s="732" t="s">
        <v>463</v>
      </c>
      <c r="E39" s="25">
        <f t="shared" si="4"/>
        <v>5520800</v>
      </c>
      <c r="F39" s="714">
        <f t="shared" si="13"/>
        <v>303441.98769090493</v>
      </c>
      <c r="G39" s="714">
        <f t="shared" si="13"/>
        <v>36725.172859205231</v>
      </c>
      <c r="H39" s="714">
        <f t="shared" si="13"/>
        <v>318456.04437352781</v>
      </c>
      <c r="I39" s="714">
        <f t="shared" si="13"/>
        <v>360534.91376035253</v>
      </c>
      <c r="J39" s="25">
        <f t="shared" si="1"/>
        <v>6539958.118683991</v>
      </c>
      <c r="K39" s="257">
        <v>520</v>
      </c>
      <c r="L39" s="714">
        <f t="shared" si="6"/>
        <v>12576.842535930751</v>
      </c>
      <c r="M39" s="629"/>
      <c r="N39" s="192" t="s">
        <v>1001</v>
      </c>
      <c r="O39" s="728">
        <f t="shared" si="12"/>
        <v>41701</v>
      </c>
      <c r="P39" s="768">
        <v>412</v>
      </c>
      <c r="Q39" s="755">
        <v>13400</v>
      </c>
      <c r="R39" s="8">
        <f t="shared" si="2"/>
        <v>5520800</v>
      </c>
      <c r="S39" s="490"/>
      <c r="T39" s="730"/>
      <c r="U39" s="755"/>
      <c r="V39" s="755"/>
      <c r="W39" s="8"/>
    </row>
    <row r="40" spans="1:23">
      <c r="A40" s="713">
        <f t="shared" si="7"/>
        <v>31</v>
      </c>
      <c r="B40" s="296" t="s">
        <v>447</v>
      </c>
      <c r="C40" s="827">
        <v>41704</v>
      </c>
      <c r="D40" s="732" t="s">
        <v>465</v>
      </c>
      <c r="E40" s="25">
        <f t="shared" si="4"/>
        <v>3220052</v>
      </c>
      <c r="F40" s="714">
        <f t="shared" si="13"/>
        <v>664654.66149988596</v>
      </c>
      <c r="G40" s="714">
        <f t="shared" si="13"/>
        <v>80442.253628143764</v>
      </c>
      <c r="H40" s="714">
        <f t="shared" si="13"/>
        <v>697541.22027201578</v>
      </c>
      <c r="I40" s="714">
        <f t="shared" si="13"/>
        <v>789710.12840969535</v>
      </c>
      <c r="J40" s="25">
        <f t="shared" si="1"/>
        <v>5452400.2638097405</v>
      </c>
      <c r="K40" s="257">
        <v>1139</v>
      </c>
      <c r="L40" s="714">
        <f t="shared" si="6"/>
        <v>4787.0063773571028</v>
      </c>
      <c r="M40" s="629"/>
      <c r="N40" s="296" t="s">
        <v>1344</v>
      </c>
      <c r="O40" s="728">
        <f t="shared" si="12"/>
        <v>41701</v>
      </c>
      <c r="P40" s="768">
        <v>242</v>
      </c>
      <c r="Q40" s="755">
        <v>13306</v>
      </c>
      <c r="R40" s="8">
        <f t="shared" si="2"/>
        <v>3220052</v>
      </c>
      <c r="S40" s="490"/>
      <c r="T40" s="730"/>
      <c r="U40" s="755"/>
      <c r="V40" s="755"/>
      <c r="W40" s="8"/>
    </row>
    <row r="41" spans="1:23">
      <c r="A41" s="713">
        <f t="shared" si="7"/>
        <v>32</v>
      </c>
      <c r="B41" s="296" t="s">
        <v>467</v>
      </c>
      <c r="C41" s="827">
        <v>41710</v>
      </c>
      <c r="D41" s="732" t="s">
        <v>468</v>
      </c>
      <c r="E41" s="25">
        <f t="shared" si="4"/>
        <v>5673752</v>
      </c>
      <c r="F41" s="714">
        <f t="shared" si="13"/>
        <v>955842.26122635056</v>
      </c>
      <c r="G41" s="714">
        <f t="shared" si="13"/>
        <v>115684.29450649647</v>
      </c>
      <c r="H41" s="714">
        <f t="shared" si="13"/>
        <v>1003136.5397766127</v>
      </c>
      <c r="I41" s="714">
        <f t="shared" si="13"/>
        <v>1135684.9783451105</v>
      </c>
      <c r="J41" s="25">
        <f t="shared" si="1"/>
        <v>8884100.0738545712</v>
      </c>
      <c r="K41" s="257">
        <v>1638</v>
      </c>
      <c r="L41" s="714">
        <f t="shared" si="6"/>
        <v>5423.7485188367345</v>
      </c>
      <c r="M41" s="629"/>
      <c r="N41" s="296" t="s">
        <v>1340</v>
      </c>
      <c r="O41" s="728">
        <f t="shared" si="12"/>
        <v>41707</v>
      </c>
      <c r="P41" s="768">
        <v>497</v>
      </c>
      <c r="Q41" s="755">
        <v>11416</v>
      </c>
      <c r="R41" s="8">
        <f t="shared" si="2"/>
        <v>5673752</v>
      </c>
      <c r="S41" s="490"/>
      <c r="T41" s="730"/>
      <c r="U41" s="755"/>
      <c r="V41" s="755"/>
      <c r="W41" s="8"/>
    </row>
    <row r="42" spans="1:23">
      <c r="A42" s="713">
        <f t="shared" si="7"/>
        <v>33</v>
      </c>
      <c r="B42" s="296" t="s">
        <v>447</v>
      </c>
      <c r="C42" s="827">
        <v>41718</v>
      </c>
      <c r="D42" s="732" t="s">
        <v>469</v>
      </c>
      <c r="E42" s="25">
        <f t="shared" si="4"/>
        <v>1216512</v>
      </c>
      <c r="F42" s="714">
        <f t="shared" si="13"/>
        <v>64189.651242306812</v>
      </c>
      <c r="G42" s="714">
        <f t="shared" si="13"/>
        <v>7768.7865663703369</v>
      </c>
      <c r="H42" s="714">
        <f t="shared" si="13"/>
        <v>67365.701694400123</v>
      </c>
      <c r="I42" s="714">
        <f t="shared" si="13"/>
        <v>76267.000987766878</v>
      </c>
      <c r="J42" s="25">
        <f t="shared" si="1"/>
        <v>1432103.1404908441</v>
      </c>
      <c r="K42" s="257">
        <v>110</v>
      </c>
      <c r="L42" s="714">
        <f t="shared" si="6"/>
        <v>13019.119459007674</v>
      </c>
      <c r="M42" s="629"/>
      <c r="N42" s="296" t="s">
        <v>1334</v>
      </c>
      <c r="O42" s="728">
        <f t="shared" si="12"/>
        <v>41715</v>
      </c>
      <c r="P42" s="768">
        <v>110</v>
      </c>
      <c r="Q42" s="755">
        <v>11059.2</v>
      </c>
      <c r="R42" s="8">
        <f t="shared" si="2"/>
        <v>1216512</v>
      </c>
      <c r="S42" s="490"/>
      <c r="T42" s="730"/>
      <c r="U42" s="755"/>
      <c r="V42" s="755"/>
      <c r="W42" s="8"/>
    </row>
    <row r="43" spans="1:23">
      <c r="A43" s="713">
        <f t="shared" si="7"/>
        <v>34</v>
      </c>
      <c r="B43" s="296" t="s">
        <v>471</v>
      </c>
      <c r="C43" s="827">
        <v>41718</v>
      </c>
      <c r="D43" s="732" t="s">
        <v>469</v>
      </c>
      <c r="E43" s="25">
        <f t="shared" si="4"/>
        <v>2738050</v>
      </c>
      <c r="F43" s="714">
        <f t="shared" si="13"/>
        <v>513517.2099384545</v>
      </c>
      <c r="G43" s="714">
        <f t="shared" si="13"/>
        <v>62150.292530962695</v>
      </c>
      <c r="H43" s="714">
        <f t="shared" si="13"/>
        <v>538925.61355520098</v>
      </c>
      <c r="I43" s="714">
        <f t="shared" si="13"/>
        <v>610136.00790213502</v>
      </c>
      <c r="J43" s="25">
        <f t="shared" si="1"/>
        <v>4462779.1239267532</v>
      </c>
      <c r="K43" s="257">
        <v>880</v>
      </c>
      <c r="L43" s="714">
        <f t="shared" si="6"/>
        <v>5071.339913553129</v>
      </c>
      <c r="M43" s="629"/>
      <c r="N43" s="296" t="s">
        <v>1364</v>
      </c>
      <c r="O43" s="728">
        <f t="shared" si="12"/>
        <v>41715</v>
      </c>
      <c r="P43" s="768">
        <v>350</v>
      </c>
      <c r="Q43" s="755">
        <v>7823</v>
      </c>
      <c r="R43" s="8">
        <f t="shared" si="2"/>
        <v>2738050</v>
      </c>
      <c r="S43" s="490"/>
      <c r="T43" s="730"/>
      <c r="U43" s="755"/>
      <c r="V43" s="755"/>
      <c r="W43" s="8"/>
    </row>
    <row r="44" spans="1:23">
      <c r="A44" s="713">
        <f t="shared" si="7"/>
        <v>35</v>
      </c>
      <c r="B44" s="296" t="s">
        <v>447</v>
      </c>
      <c r="C44" s="827">
        <v>41720</v>
      </c>
      <c r="D44" s="732" t="s">
        <v>472</v>
      </c>
      <c r="E44" s="25">
        <f t="shared" si="4"/>
        <v>3825010</v>
      </c>
      <c r="F44" s="714">
        <f t="shared" si="13"/>
        <v>124878.04878048779</v>
      </c>
      <c r="G44" s="714">
        <f t="shared" si="13"/>
        <v>15113.821138211384</v>
      </c>
      <c r="H44" s="714">
        <f t="shared" si="13"/>
        <v>131056.91056910568</v>
      </c>
      <c r="I44" s="714">
        <f t="shared" si="13"/>
        <v>148373.98373983739</v>
      </c>
      <c r="J44" s="25">
        <f t="shared" si="1"/>
        <v>4244432.7642276427</v>
      </c>
      <c r="K44" s="257">
        <v>214</v>
      </c>
      <c r="L44" s="714">
        <f t="shared" si="6"/>
        <v>19833.797963680572</v>
      </c>
      <c r="M44" s="629"/>
      <c r="N44" s="296" t="s">
        <v>1362</v>
      </c>
      <c r="O44" s="728">
        <f t="shared" si="12"/>
        <v>41717</v>
      </c>
      <c r="P44" s="768">
        <v>265</v>
      </c>
      <c r="Q44" s="755">
        <v>14434</v>
      </c>
      <c r="R44" s="8">
        <f t="shared" si="2"/>
        <v>3825010</v>
      </c>
      <c r="S44" s="490"/>
      <c r="T44" s="730"/>
      <c r="U44" s="755"/>
      <c r="V44" s="755"/>
      <c r="W44" s="8"/>
    </row>
    <row r="45" spans="1:23">
      <c r="A45" s="713">
        <f t="shared" si="7"/>
        <v>36</v>
      </c>
      <c r="B45" s="296" t="s">
        <v>474</v>
      </c>
      <c r="C45" s="827">
        <v>41724</v>
      </c>
      <c r="D45" s="732" t="s">
        <v>475</v>
      </c>
      <c r="E45" s="25">
        <f t="shared" si="4"/>
        <v>10619300</v>
      </c>
      <c r="F45" s="714">
        <f t="shared" si="13"/>
        <v>600465.01025757915</v>
      </c>
      <c r="G45" s="714">
        <f t="shared" si="13"/>
        <v>72673.467061773423</v>
      </c>
      <c r="H45" s="714">
        <f t="shared" si="13"/>
        <v>630175.51857761561</v>
      </c>
      <c r="I45" s="714">
        <f t="shared" si="13"/>
        <v>713443.12742192845</v>
      </c>
      <c r="J45" s="25">
        <f t="shared" si="1"/>
        <v>12636057.123318896</v>
      </c>
      <c r="K45" s="257">
        <v>1029</v>
      </c>
      <c r="L45" s="714">
        <f t="shared" si="6"/>
        <v>12279.93889535364</v>
      </c>
      <c r="M45" s="629"/>
      <c r="N45" s="192" t="s">
        <v>1008</v>
      </c>
      <c r="O45" s="728">
        <f t="shared" si="12"/>
        <v>41721</v>
      </c>
      <c r="P45" s="768">
        <v>515</v>
      </c>
      <c r="Q45" s="755">
        <v>20620</v>
      </c>
      <c r="R45" s="8">
        <f t="shared" si="2"/>
        <v>10619300</v>
      </c>
      <c r="S45" s="490"/>
      <c r="T45" s="730"/>
      <c r="U45" s="755"/>
      <c r="V45" s="755"/>
      <c r="W45" s="8"/>
    </row>
    <row r="46" spans="1:23">
      <c r="A46" s="713">
        <f t="shared" si="7"/>
        <v>37</v>
      </c>
      <c r="B46" s="296" t="s">
        <v>476</v>
      </c>
      <c r="C46" s="827">
        <v>41728</v>
      </c>
      <c r="D46" s="732" t="s">
        <v>477</v>
      </c>
      <c r="E46" s="25">
        <f t="shared" si="4"/>
        <v>628960</v>
      </c>
      <c r="F46" s="714">
        <f t="shared" si="13"/>
        <v>233416.91360838839</v>
      </c>
      <c r="G46" s="714">
        <f t="shared" si="13"/>
        <v>28250.132968619408</v>
      </c>
      <c r="H46" s="714">
        <f t="shared" si="13"/>
        <v>244966.1879796368</v>
      </c>
      <c r="I46" s="714">
        <f t="shared" si="13"/>
        <v>277334.54904642503</v>
      </c>
      <c r="J46" s="25">
        <f t="shared" si="1"/>
        <v>1412927.7836030694</v>
      </c>
      <c r="K46" s="257">
        <v>400</v>
      </c>
      <c r="L46" s="714">
        <f t="shared" si="6"/>
        <v>3532.3194590076732</v>
      </c>
      <c r="M46" s="629"/>
      <c r="N46" s="296" t="s">
        <v>1336</v>
      </c>
      <c r="O46" s="728">
        <f t="shared" si="12"/>
        <v>41725</v>
      </c>
      <c r="P46" s="768">
        <v>40</v>
      </c>
      <c r="Q46" s="755">
        <v>15724</v>
      </c>
      <c r="R46" s="8">
        <f t="shared" si="2"/>
        <v>628960</v>
      </c>
      <c r="S46" s="490"/>
      <c r="T46" s="730"/>
      <c r="U46" s="755"/>
      <c r="V46" s="755"/>
      <c r="W46" s="8"/>
    </row>
    <row r="47" spans="1:23">
      <c r="A47" s="713">
        <f t="shared" si="7"/>
        <v>38</v>
      </c>
      <c r="B47" s="296" t="s">
        <v>479</v>
      </c>
      <c r="C47" s="827">
        <v>41728</v>
      </c>
      <c r="D47" s="732" t="s">
        <v>477</v>
      </c>
      <c r="E47" s="25">
        <f t="shared" si="4"/>
        <v>943440</v>
      </c>
      <c r="F47" s="714">
        <f t="shared" si="13"/>
        <v>350125.37041258259</v>
      </c>
      <c r="G47" s="714">
        <f t="shared" si="13"/>
        <v>42375.199452929111</v>
      </c>
      <c r="H47" s="714">
        <f t="shared" si="13"/>
        <v>367449.28196945519</v>
      </c>
      <c r="I47" s="714">
        <f t="shared" si="13"/>
        <v>416001.82356963755</v>
      </c>
      <c r="J47" s="25">
        <f t="shared" si="1"/>
        <v>2119391.6754046045</v>
      </c>
      <c r="K47" s="257">
        <v>600</v>
      </c>
      <c r="L47" s="714">
        <f t="shared" si="6"/>
        <v>3532.3194590076741</v>
      </c>
      <c r="M47" s="629"/>
      <c r="N47" s="296" t="s">
        <v>1336</v>
      </c>
      <c r="O47" s="728">
        <f t="shared" si="12"/>
        <v>41725</v>
      </c>
      <c r="P47" s="768">
        <v>60</v>
      </c>
      <c r="Q47" s="755">
        <v>15724</v>
      </c>
      <c r="R47" s="8">
        <f t="shared" si="2"/>
        <v>943440</v>
      </c>
      <c r="S47" s="490"/>
      <c r="T47" s="730"/>
      <c r="U47" s="755"/>
      <c r="V47" s="755"/>
      <c r="W47" s="8"/>
    </row>
    <row r="48" spans="1:23">
      <c r="A48" s="713">
        <f t="shared" si="7"/>
        <v>39</v>
      </c>
      <c r="B48" s="296" t="s">
        <v>480</v>
      </c>
      <c r="C48" s="827">
        <v>41728</v>
      </c>
      <c r="D48" s="732" t="s">
        <v>477</v>
      </c>
      <c r="E48" s="25">
        <f t="shared" si="4"/>
        <v>442368</v>
      </c>
      <c r="F48" s="714">
        <f t="shared" si="13"/>
        <v>233416.91360838839</v>
      </c>
      <c r="G48" s="714">
        <f t="shared" si="13"/>
        <v>28250.132968619408</v>
      </c>
      <c r="H48" s="714">
        <f t="shared" si="13"/>
        <v>244966.1879796368</v>
      </c>
      <c r="I48" s="714">
        <f t="shared" si="13"/>
        <v>277334.54904642503</v>
      </c>
      <c r="J48" s="25">
        <f t="shared" si="1"/>
        <v>1226335.7836030696</v>
      </c>
      <c r="K48" s="257">
        <v>400</v>
      </c>
      <c r="L48" s="714">
        <f t="shared" si="6"/>
        <v>3065.8394590076741</v>
      </c>
      <c r="M48" s="629"/>
      <c r="N48" s="296" t="s">
        <v>1334</v>
      </c>
      <c r="O48" s="728">
        <f t="shared" si="12"/>
        <v>41725</v>
      </c>
      <c r="P48" s="768">
        <v>40</v>
      </c>
      <c r="Q48" s="755">
        <v>11059.2</v>
      </c>
      <c r="R48" s="8">
        <f t="shared" si="2"/>
        <v>442368</v>
      </c>
      <c r="S48" s="490"/>
      <c r="T48" s="730"/>
      <c r="U48" s="755"/>
      <c r="V48" s="755"/>
      <c r="W48" s="8"/>
    </row>
    <row r="49" spans="1:24">
      <c r="A49" s="713">
        <f t="shared" si="7"/>
        <v>40</v>
      </c>
      <c r="B49" s="296" t="s">
        <v>481</v>
      </c>
      <c r="C49" s="827">
        <v>41728</v>
      </c>
      <c r="D49" s="732" t="s">
        <v>477</v>
      </c>
      <c r="E49" s="25">
        <f t="shared" si="4"/>
        <v>552960</v>
      </c>
      <c r="F49" s="714">
        <f t="shared" si="13"/>
        <v>29177.114201048549</v>
      </c>
      <c r="G49" s="714">
        <f t="shared" si="13"/>
        <v>3531.266621077426</v>
      </c>
      <c r="H49" s="714">
        <f t="shared" si="13"/>
        <v>30620.7734974546</v>
      </c>
      <c r="I49" s="714">
        <f t="shared" si="13"/>
        <v>34666.818630803129</v>
      </c>
      <c r="J49" s="25">
        <f t="shared" si="1"/>
        <v>650955.97295038367</v>
      </c>
      <c r="K49" s="257">
        <v>50</v>
      </c>
      <c r="L49" s="714">
        <f t="shared" si="6"/>
        <v>13019.119459007674</v>
      </c>
      <c r="M49" s="629"/>
      <c r="N49" s="296" t="s">
        <v>1334</v>
      </c>
      <c r="O49" s="728">
        <f t="shared" si="12"/>
        <v>41725</v>
      </c>
      <c r="P49" s="768">
        <v>50</v>
      </c>
      <c r="Q49" s="755">
        <v>11059.2</v>
      </c>
      <c r="R49" s="8">
        <f t="shared" si="2"/>
        <v>552960</v>
      </c>
      <c r="S49" s="490"/>
      <c r="T49" s="730"/>
      <c r="U49" s="755"/>
      <c r="V49" s="755"/>
      <c r="W49" s="8"/>
    </row>
    <row r="50" spans="1:24">
      <c r="A50" s="713">
        <f t="shared" si="7"/>
        <v>41</v>
      </c>
      <c r="B50" s="296" t="s">
        <v>482</v>
      </c>
      <c r="C50" s="827">
        <v>41728</v>
      </c>
      <c r="D50" s="732" t="s">
        <v>483</v>
      </c>
      <c r="E50" s="25">
        <f t="shared" si="4"/>
        <v>7320100</v>
      </c>
      <c r="F50" s="714">
        <f t="shared" si="13"/>
        <v>291771.14201048552</v>
      </c>
      <c r="G50" s="714">
        <f t="shared" si="13"/>
        <v>35312.66621077426</v>
      </c>
      <c r="H50" s="714">
        <f t="shared" si="13"/>
        <v>306207.73497454601</v>
      </c>
      <c r="I50" s="714">
        <f t="shared" si="13"/>
        <v>346668.18630803132</v>
      </c>
      <c r="J50" s="25">
        <f t="shared" si="1"/>
        <v>8300059.7295038374</v>
      </c>
      <c r="K50" s="257">
        <v>500</v>
      </c>
      <c r="L50" s="714">
        <f t="shared" si="6"/>
        <v>16600.119459007674</v>
      </c>
      <c r="M50" s="629"/>
      <c r="N50" s="192" t="s">
        <v>1008</v>
      </c>
      <c r="O50" s="728">
        <f t="shared" si="12"/>
        <v>41725</v>
      </c>
      <c r="P50" s="768">
        <v>355</v>
      </c>
      <c r="Q50" s="755">
        <v>20620</v>
      </c>
      <c r="R50" s="8">
        <f t="shared" si="2"/>
        <v>7320100</v>
      </c>
      <c r="S50" s="490"/>
      <c r="T50" s="730"/>
      <c r="U50" s="755"/>
      <c r="V50" s="755"/>
      <c r="W50" s="8"/>
    </row>
    <row r="51" spans="1:24">
      <c r="A51" s="713">
        <f t="shared" si="7"/>
        <v>42</v>
      </c>
      <c r="B51" s="296" t="s">
        <v>446</v>
      </c>
      <c r="C51" s="827">
        <v>41728</v>
      </c>
      <c r="D51" s="732" t="s">
        <v>483</v>
      </c>
      <c r="E51" s="25">
        <f t="shared" si="4"/>
        <v>1033320</v>
      </c>
      <c r="F51" s="714">
        <f t="shared" si="13"/>
        <v>583542.28402097104</v>
      </c>
      <c r="G51" s="714">
        <f t="shared" si="13"/>
        <v>70625.332421548519</v>
      </c>
      <c r="H51" s="714">
        <f t="shared" si="13"/>
        <v>612415.46994909202</v>
      </c>
      <c r="I51" s="714">
        <f t="shared" si="13"/>
        <v>693336.37261606264</v>
      </c>
      <c r="J51" s="25">
        <f t="shared" si="1"/>
        <v>2993239.4590076739</v>
      </c>
      <c r="K51" s="257">
        <v>1000</v>
      </c>
      <c r="L51" s="714">
        <f t="shared" si="6"/>
        <v>2993.2394590076738</v>
      </c>
      <c r="M51" s="629"/>
      <c r="N51" s="296" t="s">
        <v>1356</v>
      </c>
      <c r="O51" s="728">
        <f t="shared" si="12"/>
        <v>41725</v>
      </c>
      <c r="P51" s="768">
        <v>60</v>
      </c>
      <c r="Q51" s="755">
        <v>17222</v>
      </c>
      <c r="R51" s="8">
        <f t="shared" si="2"/>
        <v>1033320</v>
      </c>
      <c r="S51" s="490"/>
      <c r="T51" s="730"/>
      <c r="U51" s="755"/>
      <c r="V51" s="755"/>
      <c r="W51" s="8"/>
    </row>
    <row r="52" spans="1:24" s="733" customFormat="1">
      <c r="A52" s="713"/>
      <c r="B52" s="296"/>
      <c r="C52" s="827"/>
      <c r="D52" s="732"/>
      <c r="E52" s="25"/>
      <c r="F52" s="714"/>
      <c r="G52" s="714"/>
      <c r="H52" s="714"/>
      <c r="I52" s="714"/>
      <c r="J52" s="25"/>
      <c r="K52" s="257"/>
      <c r="L52" s="714"/>
      <c r="M52" s="629"/>
      <c r="N52" s="731"/>
      <c r="O52" s="730"/>
      <c r="P52" s="768"/>
      <c r="Q52" s="755"/>
      <c r="R52" s="755"/>
      <c r="S52" s="731"/>
      <c r="T52" s="730"/>
      <c r="U52" s="755"/>
      <c r="V52" s="755"/>
      <c r="W52" s="8"/>
    </row>
    <row r="53" spans="1:24" s="710" customFormat="1">
      <c r="A53" s="715"/>
      <c r="B53" s="716" t="s">
        <v>251</v>
      </c>
      <c r="C53" s="828"/>
      <c r="D53" s="736"/>
      <c r="E53" s="516">
        <f>SUM(E6:E52)</f>
        <v>157371581</v>
      </c>
      <c r="F53" s="516">
        <v>15360000</v>
      </c>
      <c r="G53" s="516">
        <f>$W$53</f>
        <v>1859000</v>
      </c>
      <c r="H53" s="516">
        <v>16120000</v>
      </c>
      <c r="I53" s="516">
        <v>18250000</v>
      </c>
      <c r="J53" s="516">
        <f>ROUND(SUM(J6:J52),0)</f>
        <v>208960581</v>
      </c>
      <c r="K53" s="516">
        <f>ROUND(SUM(K6:K52),0)</f>
        <v>26322</v>
      </c>
      <c r="L53" s="516"/>
      <c r="M53" s="724"/>
      <c r="N53" s="734"/>
      <c r="O53" s="735"/>
      <c r="P53" s="769">
        <f>SUM(P6:P52)</f>
        <v>9777</v>
      </c>
      <c r="Q53" s="47"/>
      <c r="R53" s="47">
        <f>SUM(R6:R52)</f>
        <v>157371581</v>
      </c>
      <c r="S53" s="734"/>
      <c r="T53" s="735"/>
      <c r="U53" s="747"/>
      <c r="V53" s="27"/>
      <c r="W53" s="47">
        <f>SUM(W6:W52)</f>
        <v>1859000</v>
      </c>
    </row>
    <row r="54" spans="1:24" s="710" customFormat="1">
      <c r="A54" s="717"/>
      <c r="B54" s="718"/>
      <c r="C54" s="829"/>
      <c r="D54" s="738"/>
      <c r="E54" s="711"/>
      <c r="F54" s="711"/>
      <c r="G54" s="711"/>
      <c r="H54" s="711"/>
      <c r="I54" s="711"/>
      <c r="J54" s="740"/>
      <c r="K54" s="711"/>
      <c r="L54" s="711"/>
      <c r="M54" s="724"/>
      <c r="N54" s="444"/>
      <c r="O54" s="737"/>
      <c r="P54" s="770"/>
      <c r="Q54" s="727"/>
      <c r="R54" s="739"/>
      <c r="S54" s="444"/>
      <c r="T54" s="737"/>
      <c r="U54" s="727"/>
      <c r="V54" s="727"/>
      <c r="W54" s="709"/>
    </row>
    <row r="55" spans="1:24">
      <c r="C55" s="829"/>
      <c r="D55" s="738"/>
      <c r="E55" s="719"/>
      <c r="F55" s="719"/>
      <c r="G55" s="720"/>
      <c r="H55" s="720"/>
      <c r="J55" s="740"/>
      <c r="K55" s="711"/>
      <c r="N55" s="444"/>
      <c r="O55" s="737"/>
      <c r="P55" s="770"/>
      <c r="Q55" s="727"/>
      <c r="R55" s="739"/>
      <c r="S55" s="444"/>
      <c r="T55" s="737"/>
      <c r="U55" s="727"/>
      <c r="V55" s="727"/>
    </row>
    <row r="56" spans="1:24" ht="18" hidden="1" customHeight="1">
      <c r="A56" s="552" t="str">
        <f>TH!$A$1</f>
        <v>Đơn vị: CÔNG TY TNHH SX TM KIM DUNG PHÁT</v>
      </c>
      <c r="B56" s="710"/>
      <c r="C56" s="829"/>
      <c r="D56" s="738"/>
      <c r="E56" s="293"/>
      <c r="F56" s="293"/>
      <c r="G56" s="293"/>
      <c r="H56" s="293"/>
      <c r="I56" s="293"/>
      <c r="J56" s="293"/>
      <c r="K56" s="566"/>
      <c r="L56" s="293"/>
      <c r="M56" s="724"/>
      <c r="N56" s="444"/>
      <c r="O56" s="737"/>
      <c r="P56" s="770"/>
      <c r="Q56" s="727"/>
      <c r="R56" s="739"/>
      <c r="S56" s="444"/>
      <c r="T56" s="737"/>
      <c r="U56" s="727"/>
      <c r="V56" s="727"/>
      <c r="X56" s="719"/>
    </row>
    <row r="57" spans="1:24" ht="18.75" customHeight="1">
      <c r="A57" s="711" t="s">
        <v>1379</v>
      </c>
      <c r="B57" s="711"/>
      <c r="C57" s="829"/>
      <c r="D57" s="738"/>
      <c r="E57" s="711"/>
      <c r="F57" s="711"/>
      <c r="G57" s="711"/>
      <c r="H57" s="711"/>
      <c r="I57" s="711"/>
      <c r="J57" s="711"/>
      <c r="K57" s="711"/>
      <c r="L57" s="711"/>
      <c r="M57" s="724"/>
      <c r="N57" s="444"/>
      <c r="O57" s="737"/>
      <c r="P57" s="770"/>
      <c r="Q57" s="727"/>
      <c r="R57" s="739"/>
      <c r="S57" s="444"/>
      <c r="T57" s="737"/>
      <c r="U57" s="727"/>
      <c r="V57" s="727"/>
    </row>
    <row r="58" spans="1:24" ht="12.75" customHeight="1">
      <c r="A58" s="760"/>
      <c r="B58" s="753"/>
      <c r="C58" s="829"/>
      <c r="D58" s="738"/>
      <c r="E58" s="753"/>
      <c r="F58" s="753"/>
      <c r="G58" s="753"/>
      <c r="H58" s="753"/>
      <c r="I58" s="753"/>
      <c r="J58" s="753"/>
      <c r="K58" s="726"/>
      <c r="L58" s="753"/>
      <c r="M58" s="724"/>
      <c r="N58" s="444"/>
      <c r="O58" s="737"/>
      <c r="P58" s="770"/>
      <c r="Q58" s="727"/>
      <c r="R58" s="739"/>
      <c r="S58" s="444"/>
      <c r="T58" s="737"/>
      <c r="U58" s="727"/>
      <c r="V58" s="727"/>
    </row>
    <row r="59" spans="1:24" s="441" customFormat="1" ht="30.75" customHeight="1">
      <c r="A59" s="774" t="s">
        <v>35</v>
      </c>
      <c r="B59" s="436" t="s">
        <v>242</v>
      </c>
      <c r="C59" s="826"/>
      <c r="D59" s="705"/>
      <c r="E59" s="437" t="s">
        <v>245</v>
      </c>
      <c r="F59" s="437" t="s">
        <v>373</v>
      </c>
      <c r="G59" s="437" t="s">
        <v>246</v>
      </c>
      <c r="H59" s="437" t="s">
        <v>369</v>
      </c>
      <c r="I59" s="438" t="s">
        <v>247</v>
      </c>
      <c r="J59" s="437" t="s">
        <v>248</v>
      </c>
      <c r="K59" s="439" t="s">
        <v>243</v>
      </c>
      <c r="L59" s="437" t="s">
        <v>249</v>
      </c>
      <c r="M59" s="440"/>
      <c r="N59" s="436" t="s">
        <v>242</v>
      </c>
      <c r="O59" s="437" t="s">
        <v>236</v>
      </c>
      <c r="P59" s="766" t="s">
        <v>201</v>
      </c>
      <c r="Q59" s="437" t="s">
        <v>244</v>
      </c>
      <c r="R59" s="437" t="s">
        <v>250</v>
      </c>
      <c r="S59" s="436" t="s">
        <v>242</v>
      </c>
      <c r="T59" s="437" t="s">
        <v>236</v>
      </c>
      <c r="U59" s="437" t="s">
        <v>201</v>
      </c>
      <c r="V59" s="437" t="s">
        <v>244</v>
      </c>
      <c r="W59" s="436" t="s">
        <v>250</v>
      </c>
    </row>
    <row r="60" spans="1:24">
      <c r="A60" s="775">
        <f>IF(B60&lt;&gt;"",ROW()-59,"")</f>
        <v>1</v>
      </c>
      <c r="B60" s="830" t="s">
        <v>484</v>
      </c>
      <c r="C60" s="728">
        <v>41730</v>
      </c>
      <c r="D60" s="729" t="s">
        <v>485</v>
      </c>
      <c r="E60" s="750">
        <f>R60</f>
        <v>3406050</v>
      </c>
      <c r="F60" s="750">
        <f t="shared" ref="F60:I79" si="14">IF($K$134&lt;&gt;0,F$134/$K$134*$K60,0)</f>
        <v>108725.05697939439</v>
      </c>
      <c r="G60" s="750">
        <f t="shared" si="14"/>
        <v>20473.74296478906</v>
      </c>
      <c r="H60" s="750">
        <f t="shared" si="14"/>
        <v>145317.92176380297</v>
      </c>
      <c r="I60" s="750">
        <f t="shared" si="14"/>
        <v>128180.38048281315</v>
      </c>
      <c r="J60" s="25">
        <f t="shared" ref="J60:J91" si="15">SUM(E60:I60)</f>
        <v>3808747.1021908</v>
      </c>
      <c r="K60" s="750">
        <v>302</v>
      </c>
      <c r="L60" s="750">
        <f>IF(K60&lt;&gt;"",J60/K60,"")</f>
        <v>12611.745371492716</v>
      </c>
      <c r="M60" s="629"/>
      <c r="N60" s="40" t="s">
        <v>1183</v>
      </c>
      <c r="O60" s="728">
        <f t="shared" ref="O60:O91" si="16">C60-3</f>
        <v>41727</v>
      </c>
      <c r="P60" s="301">
        <v>270</v>
      </c>
      <c r="Q60" s="756">
        <v>12615</v>
      </c>
      <c r="R60" s="25">
        <f>P60*Q60</f>
        <v>3406050</v>
      </c>
      <c r="S60" s="443" t="s">
        <v>1327</v>
      </c>
      <c r="T60" s="730">
        <v>41734</v>
      </c>
      <c r="U60" s="754">
        <v>50</v>
      </c>
      <c r="V60" s="754">
        <v>17500</v>
      </c>
      <c r="W60" s="25">
        <f>U60*V60</f>
        <v>875000</v>
      </c>
    </row>
    <row r="61" spans="1:24">
      <c r="A61" s="751">
        <f>IF(B61&lt;&gt;"",A60+1,"")</f>
        <v>2</v>
      </c>
      <c r="B61" s="296" t="s">
        <v>486</v>
      </c>
      <c r="C61" s="728">
        <v>41730</v>
      </c>
      <c r="D61" s="729" t="s">
        <v>485</v>
      </c>
      <c r="E61" s="773">
        <f t="shared" ref="E61:E124" si="17">R61</f>
        <v>1576950</v>
      </c>
      <c r="F61" s="257">
        <f t="shared" si="14"/>
        <v>108005.02348946463</v>
      </c>
      <c r="G61" s="257">
        <f t="shared" si="14"/>
        <v>20338.155263035493</v>
      </c>
      <c r="H61" s="257">
        <f t="shared" si="14"/>
        <v>144355.55142099631</v>
      </c>
      <c r="I61" s="257">
        <f t="shared" si="14"/>
        <v>127331.50379087399</v>
      </c>
      <c r="J61" s="25">
        <f t="shared" si="15"/>
        <v>1976980.2339643706</v>
      </c>
      <c r="K61" s="257">
        <v>300</v>
      </c>
      <c r="L61" s="257">
        <f t="shared" ref="L61:L124" si="18">IF(K61&lt;&gt;"",J61/K61,"")</f>
        <v>6589.9341132145682</v>
      </c>
      <c r="M61" s="629"/>
      <c r="N61" s="192" t="s">
        <v>1164</v>
      </c>
      <c r="O61" s="728">
        <f t="shared" si="16"/>
        <v>41727</v>
      </c>
      <c r="P61" s="301">
        <v>150</v>
      </c>
      <c r="Q61" s="756">
        <v>10513</v>
      </c>
      <c r="R61" s="25">
        <f t="shared" ref="R61:R124" si="19">P61*Q61</f>
        <v>1576950</v>
      </c>
      <c r="S61" s="442" t="s">
        <v>330</v>
      </c>
      <c r="T61" s="730">
        <v>41734</v>
      </c>
      <c r="U61" s="756">
        <v>24</v>
      </c>
      <c r="V61" s="756">
        <v>41000</v>
      </c>
      <c r="W61" s="8">
        <f t="shared" ref="W61:W124" si="20">U61*V61</f>
        <v>984000</v>
      </c>
    </row>
    <row r="62" spans="1:24">
      <c r="A62" s="751">
        <f>IF(B62&lt;&gt;"",A61+1,"")</f>
        <v>3</v>
      </c>
      <c r="B62" s="296" t="s">
        <v>487</v>
      </c>
      <c r="C62" s="728">
        <v>41730</v>
      </c>
      <c r="D62" s="729" t="s">
        <v>485</v>
      </c>
      <c r="E62" s="773">
        <f t="shared" si="17"/>
        <v>3352400</v>
      </c>
      <c r="F62" s="257">
        <f t="shared" si="14"/>
        <v>144726.73147588261</v>
      </c>
      <c r="G62" s="257">
        <f t="shared" si="14"/>
        <v>27253.12805246756</v>
      </c>
      <c r="H62" s="257">
        <f t="shared" si="14"/>
        <v>193436.43890413508</v>
      </c>
      <c r="I62" s="257">
        <f t="shared" si="14"/>
        <v>170624.21507977115</v>
      </c>
      <c r="J62" s="25">
        <f t="shared" si="15"/>
        <v>3888440.5135122566</v>
      </c>
      <c r="K62" s="257">
        <v>402</v>
      </c>
      <c r="L62" s="257">
        <f t="shared" si="18"/>
        <v>9672.7375958016328</v>
      </c>
      <c r="M62" s="629"/>
      <c r="N62" s="40" t="s">
        <v>1177</v>
      </c>
      <c r="O62" s="728">
        <f t="shared" si="16"/>
        <v>41727</v>
      </c>
      <c r="P62" s="771">
        <v>425</v>
      </c>
      <c r="Q62" s="256">
        <v>7888</v>
      </c>
      <c r="R62" s="8">
        <f t="shared" si="19"/>
        <v>3352400</v>
      </c>
      <c r="S62" s="442" t="s">
        <v>330</v>
      </c>
      <c r="T62" s="728">
        <v>41790</v>
      </c>
      <c r="U62" s="756">
        <v>24</v>
      </c>
      <c r="V62" s="756">
        <v>44000</v>
      </c>
      <c r="W62" s="8">
        <f t="shared" si="20"/>
        <v>1056000</v>
      </c>
    </row>
    <row r="63" spans="1:24">
      <c r="A63" s="751">
        <f t="shared" ref="A63:A94" si="21">IF(B63&lt;&gt;"",A62+1,"")</f>
        <v>4</v>
      </c>
      <c r="B63" s="296" t="s">
        <v>488</v>
      </c>
      <c r="C63" s="728">
        <v>41730</v>
      </c>
      <c r="D63" s="729" t="s">
        <v>485</v>
      </c>
      <c r="E63" s="773">
        <f t="shared" si="17"/>
        <v>2975400</v>
      </c>
      <c r="F63" s="257">
        <f t="shared" si="14"/>
        <v>198009.20973068516</v>
      </c>
      <c r="G63" s="257">
        <f t="shared" si="14"/>
        <v>37286.617982231735</v>
      </c>
      <c r="H63" s="257">
        <f t="shared" si="14"/>
        <v>264651.84427182662</v>
      </c>
      <c r="I63" s="257">
        <f t="shared" si="14"/>
        <v>233441.090283269</v>
      </c>
      <c r="J63" s="25">
        <f t="shared" si="15"/>
        <v>3708788.7622680124</v>
      </c>
      <c r="K63" s="257">
        <v>550</v>
      </c>
      <c r="L63" s="257">
        <f t="shared" si="18"/>
        <v>6743.2522950327502</v>
      </c>
      <c r="M63" s="629"/>
      <c r="N63" s="40" t="s">
        <v>1182</v>
      </c>
      <c r="O63" s="728">
        <f t="shared" si="16"/>
        <v>41727</v>
      </c>
      <c r="P63" s="301">
        <v>270</v>
      </c>
      <c r="Q63" s="258">
        <v>11020</v>
      </c>
      <c r="R63" s="8">
        <f t="shared" si="19"/>
        <v>2975400</v>
      </c>
      <c r="S63" s="443"/>
      <c r="T63" s="730"/>
      <c r="U63" s="754"/>
      <c r="V63" s="754"/>
      <c r="W63" s="8">
        <f t="shared" si="20"/>
        <v>0</v>
      </c>
    </row>
    <row r="64" spans="1:24">
      <c r="A64" s="751">
        <f t="shared" si="21"/>
        <v>5</v>
      </c>
      <c r="B64" s="296" t="s">
        <v>489</v>
      </c>
      <c r="C64" s="728">
        <v>41730</v>
      </c>
      <c r="D64" s="729" t="s">
        <v>490</v>
      </c>
      <c r="E64" s="773">
        <f t="shared" si="17"/>
        <v>3234195</v>
      </c>
      <c r="F64" s="257">
        <f t="shared" si="14"/>
        <v>93604.35369086935</v>
      </c>
      <c r="G64" s="257">
        <f t="shared" si="14"/>
        <v>17626.401227964092</v>
      </c>
      <c r="H64" s="257">
        <f t="shared" si="14"/>
        <v>125108.14456486348</v>
      </c>
      <c r="I64" s="257">
        <f t="shared" si="14"/>
        <v>110353.96995209079</v>
      </c>
      <c r="J64" s="25">
        <f t="shared" si="15"/>
        <v>3580887.8694357872</v>
      </c>
      <c r="K64" s="257">
        <v>260</v>
      </c>
      <c r="L64" s="257">
        <f t="shared" si="18"/>
        <v>13772.645651676105</v>
      </c>
      <c r="M64" s="629"/>
      <c r="N64" s="189" t="s">
        <v>1099</v>
      </c>
      <c r="O64" s="728">
        <f t="shared" si="16"/>
        <v>41727</v>
      </c>
      <c r="P64" s="771">
        <v>135</v>
      </c>
      <c r="Q64" s="258">
        <v>23957</v>
      </c>
      <c r="R64" s="8">
        <f t="shared" si="19"/>
        <v>3234195</v>
      </c>
      <c r="S64" s="443"/>
      <c r="T64" s="730"/>
      <c r="U64" s="754"/>
      <c r="V64" s="754"/>
      <c r="W64" s="8">
        <f t="shared" si="20"/>
        <v>0</v>
      </c>
    </row>
    <row r="65" spans="1:23">
      <c r="A65" s="751">
        <f t="shared" si="21"/>
        <v>6</v>
      </c>
      <c r="B65" s="296" t="s">
        <v>492</v>
      </c>
      <c r="C65" s="728">
        <v>41730</v>
      </c>
      <c r="D65" s="729" t="s">
        <v>490</v>
      </c>
      <c r="E65" s="773">
        <f t="shared" si="17"/>
        <v>2992150</v>
      </c>
      <c r="F65" s="257">
        <f t="shared" si="14"/>
        <v>756035.16442625236</v>
      </c>
      <c r="G65" s="257">
        <f t="shared" si="14"/>
        <v>142367.08684124844</v>
      </c>
      <c r="H65" s="257">
        <f t="shared" si="14"/>
        <v>1010488.8599469743</v>
      </c>
      <c r="I65" s="257">
        <f t="shared" si="14"/>
        <v>891320.52653611801</v>
      </c>
      <c r="J65" s="25">
        <f t="shared" si="15"/>
        <v>5792361.637750593</v>
      </c>
      <c r="K65" s="257">
        <v>2100</v>
      </c>
      <c r="L65" s="257">
        <f t="shared" si="18"/>
        <v>2758.2674465479013</v>
      </c>
      <c r="M65" s="629"/>
      <c r="N65" s="40" t="s">
        <v>1185</v>
      </c>
      <c r="O65" s="728">
        <f t="shared" si="16"/>
        <v>41727</v>
      </c>
      <c r="P65" s="771">
        <v>350</v>
      </c>
      <c r="Q65" s="256">
        <v>8549</v>
      </c>
      <c r="R65" s="8">
        <f t="shared" si="19"/>
        <v>2992150</v>
      </c>
      <c r="S65" s="443"/>
      <c r="T65" s="730"/>
      <c r="U65" s="754"/>
      <c r="V65" s="754"/>
      <c r="W65" s="8">
        <f t="shared" si="20"/>
        <v>0</v>
      </c>
    </row>
    <row r="66" spans="1:23">
      <c r="A66" s="751">
        <f t="shared" si="21"/>
        <v>7</v>
      </c>
      <c r="B66" s="296" t="s">
        <v>493</v>
      </c>
      <c r="C66" s="728">
        <v>41733</v>
      </c>
      <c r="D66" s="729" t="s">
        <v>494</v>
      </c>
      <c r="E66" s="773">
        <f t="shared" si="17"/>
        <v>2059885</v>
      </c>
      <c r="F66" s="257">
        <f t="shared" si="14"/>
        <v>117005.44211358669</v>
      </c>
      <c r="G66" s="257">
        <f t="shared" si="14"/>
        <v>22033.001534955118</v>
      </c>
      <c r="H66" s="257">
        <f t="shared" si="14"/>
        <v>156385.18070607935</v>
      </c>
      <c r="I66" s="257">
        <f t="shared" si="14"/>
        <v>137942.46244011351</v>
      </c>
      <c r="J66" s="25">
        <f t="shared" si="15"/>
        <v>2493251.0867947349</v>
      </c>
      <c r="K66" s="257">
        <v>325</v>
      </c>
      <c r="L66" s="257">
        <f t="shared" si="18"/>
        <v>7671.5418055222617</v>
      </c>
      <c r="M66" s="629"/>
      <c r="N66" s="189" t="s">
        <v>1098</v>
      </c>
      <c r="O66" s="728">
        <f t="shared" si="16"/>
        <v>41730</v>
      </c>
      <c r="P66" s="301">
        <v>95</v>
      </c>
      <c r="Q66" s="258">
        <v>21683</v>
      </c>
      <c r="R66" s="8">
        <f t="shared" si="19"/>
        <v>2059885</v>
      </c>
      <c r="S66" s="443"/>
      <c r="T66" s="730"/>
      <c r="U66" s="754"/>
      <c r="V66" s="754"/>
      <c r="W66" s="8">
        <f t="shared" si="20"/>
        <v>0</v>
      </c>
    </row>
    <row r="67" spans="1:23">
      <c r="A67" s="751">
        <f t="shared" si="21"/>
        <v>8</v>
      </c>
      <c r="B67" s="296" t="s">
        <v>495</v>
      </c>
      <c r="C67" s="728">
        <v>41733</v>
      </c>
      <c r="D67" s="729" t="s">
        <v>494</v>
      </c>
      <c r="E67" s="773">
        <f t="shared" si="17"/>
        <v>3463600</v>
      </c>
      <c r="F67" s="257">
        <f t="shared" si="14"/>
        <v>207729.66184473695</v>
      </c>
      <c r="G67" s="257">
        <f t="shared" si="14"/>
        <v>39117.051955904928</v>
      </c>
      <c r="H67" s="257">
        <f t="shared" si="14"/>
        <v>277643.84389971627</v>
      </c>
      <c r="I67" s="257">
        <f t="shared" si="14"/>
        <v>244900.92562444764</v>
      </c>
      <c r="J67" s="25">
        <f t="shared" si="15"/>
        <v>4232991.4833248053</v>
      </c>
      <c r="K67" s="257">
        <v>577</v>
      </c>
      <c r="L67" s="257">
        <f t="shared" si="18"/>
        <v>7336.2070768194199</v>
      </c>
      <c r="M67" s="629"/>
      <c r="N67" s="192" t="s">
        <v>1076</v>
      </c>
      <c r="O67" s="728">
        <f t="shared" si="16"/>
        <v>41730</v>
      </c>
      <c r="P67" s="771">
        <v>200</v>
      </c>
      <c r="Q67" s="258">
        <v>17318</v>
      </c>
      <c r="R67" s="8">
        <f t="shared" si="19"/>
        <v>3463600</v>
      </c>
      <c r="S67" s="443"/>
      <c r="T67" s="730"/>
      <c r="U67" s="754"/>
      <c r="V67" s="754"/>
      <c r="W67" s="8">
        <f t="shared" si="20"/>
        <v>0</v>
      </c>
    </row>
    <row r="68" spans="1:23">
      <c r="A68" s="751">
        <f t="shared" si="21"/>
        <v>9</v>
      </c>
      <c r="B68" s="296" t="s">
        <v>437</v>
      </c>
      <c r="C68" s="728">
        <v>41740</v>
      </c>
      <c r="D68" s="729" t="s">
        <v>496</v>
      </c>
      <c r="E68" s="773">
        <f t="shared" si="17"/>
        <v>6595920</v>
      </c>
      <c r="F68" s="257">
        <f t="shared" si="14"/>
        <v>259212.05637471512</v>
      </c>
      <c r="G68" s="257">
        <f t="shared" si="14"/>
        <v>48811.572631285177</v>
      </c>
      <c r="H68" s="257">
        <f t="shared" si="14"/>
        <v>346453.32341039117</v>
      </c>
      <c r="I68" s="257">
        <f t="shared" si="14"/>
        <v>305595.6090980976</v>
      </c>
      <c r="J68" s="25">
        <f t="shared" si="15"/>
        <v>7555992.5615144884</v>
      </c>
      <c r="K68" s="257">
        <v>720</v>
      </c>
      <c r="L68" s="257">
        <f t="shared" si="18"/>
        <v>10494.434113214567</v>
      </c>
      <c r="M68" s="629"/>
      <c r="N68" s="40" t="s">
        <v>1180</v>
      </c>
      <c r="O68" s="728">
        <f t="shared" si="16"/>
        <v>41737</v>
      </c>
      <c r="P68" s="301">
        <v>720</v>
      </c>
      <c r="Q68" s="258">
        <v>9161</v>
      </c>
      <c r="R68" s="8">
        <f t="shared" si="19"/>
        <v>6595920</v>
      </c>
      <c r="S68" s="443"/>
      <c r="T68" s="730"/>
      <c r="U68" s="754"/>
      <c r="V68" s="754"/>
      <c r="W68" s="8">
        <f t="shared" si="20"/>
        <v>0</v>
      </c>
    </row>
    <row r="69" spans="1:23">
      <c r="A69" s="751">
        <f t="shared" si="21"/>
        <v>10</v>
      </c>
      <c r="B69" s="296" t="s">
        <v>497</v>
      </c>
      <c r="C69" s="728">
        <v>41740</v>
      </c>
      <c r="D69" s="729" t="s">
        <v>496</v>
      </c>
      <c r="E69" s="773">
        <f t="shared" si="17"/>
        <v>2483712</v>
      </c>
      <c r="F69" s="257">
        <f t="shared" si="14"/>
        <v>122405.69328805991</v>
      </c>
      <c r="G69" s="257">
        <f t="shared" si="14"/>
        <v>23049.90929810689</v>
      </c>
      <c r="H69" s="257">
        <f t="shared" si="14"/>
        <v>163602.95827712916</v>
      </c>
      <c r="I69" s="257">
        <f t="shared" si="14"/>
        <v>144309.03762965719</v>
      </c>
      <c r="J69" s="25">
        <f t="shared" si="15"/>
        <v>2937079.598492953</v>
      </c>
      <c r="K69" s="257">
        <v>340</v>
      </c>
      <c r="L69" s="257">
        <f t="shared" si="18"/>
        <v>8638.4694073322153</v>
      </c>
      <c r="M69" s="629"/>
      <c r="N69" s="40" t="s">
        <v>1186</v>
      </c>
      <c r="O69" s="728">
        <f t="shared" si="16"/>
        <v>41737</v>
      </c>
      <c r="P69" s="301">
        <v>126</v>
      </c>
      <c r="Q69" s="256">
        <v>19712</v>
      </c>
      <c r="R69" s="8">
        <f t="shared" si="19"/>
        <v>2483712</v>
      </c>
      <c r="S69" s="443"/>
      <c r="T69" s="730"/>
      <c r="U69" s="754"/>
      <c r="V69" s="754"/>
      <c r="W69" s="8">
        <f t="shared" si="20"/>
        <v>0</v>
      </c>
    </row>
    <row r="70" spans="1:23">
      <c r="A70" s="751">
        <f t="shared" si="21"/>
        <v>11</v>
      </c>
      <c r="B70" s="296" t="s">
        <v>498</v>
      </c>
      <c r="C70" s="728">
        <v>41744</v>
      </c>
      <c r="D70" s="729" t="s">
        <v>499</v>
      </c>
      <c r="E70" s="773">
        <f t="shared" si="17"/>
        <v>748900</v>
      </c>
      <c r="F70" s="257">
        <f t="shared" si="14"/>
        <v>36001.674496488209</v>
      </c>
      <c r="G70" s="257">
        <f t="shared" si="14"/>
        <v>6779.3850876784973</v>
      </c>
      <c r="H70" s="257">
        <f t="shared" si="14"/>
        <v>48118.517140332107</v>
      </c>
      <c r="I70" s="257">
        <f t="shared" si="14"/>
        <v>42443.834596957997</v>
      </c>
      <c r="J70" s="25">
        <f t="shared" si="15"/>
        <v>882243.41132145678</v>
      </c>
      <c r="K70" s="257">
        <v>100</v>
      </c>
      <c r="L70" s="257">
        <f t="shared" si="18"/>
        <v>8822.4341132145673</v>
      </c>
      <c r="M70" s="629"/>
      <c r="N70" s="192" t="s">
        <v>1074</v>
      </c>
      <c r="O70" s="728">
        <f t="shared" si="16"/>
        <v>41741</v>
      </c>
      <c r="P70" s="301">
        <v>50</v>
      </c>
      <c r="Q70" s="256">
        <v>14978</v>
      </c>
      <c r="R70" s="8">
        <f t="shared" si="19"/>
        <v>748900</v>
      </c>
      <c r="S70" s="443"/>
      <c r="T70" s="730"/>
      <c r="U70" s="754"/>
      <c r="V70" s="754"/>
      <c r="W70" s="8">
        <f t="shared" si="20"/>
        <v>0</v>
      </c>
    </row>
    <row r="71" spans="1:23">
      <c r="A71" s="751">
        <f>IF(B71&lt;&gt;"",A70+1,"")</f>
        <v>12</v>
      </c>
      <c r="B71" s="296" t="s">
        <v>460</v>
      </c>
      <c r="C71" s="728">
        <v>41746</v>
      </c>
      <c r="D71" s="729" t="s">
        <v>500</v>
      </c>
      <c r="E71" s="773">
        <f t="shared" si="17"/>
        <v>7047200</v>
      </c>
      <c r="F71" s="257">
        <f t="shared" si="14"/>
        <v>365416.99613935535</v>
      </c>
      <c r="G71" s="257">
        <f t="shared" si="14"/>
        <v>68810.758639936743</v>
      </c>
      <c r="H71" s="257">
        <f t="shared" si="14"/>
        <v>488402.9489743709</v>
      </c>
      <c r="I71" s="257">
        <f t="shared" si="14"/>
        <v>430804.92115912371</v>
      </c>
      <c r="J71" s="25">
        <f t="shared" si="15"/>
        <v>8400635.6249127854</v>
      </c>
      <c r="K71" s="257">
        <v>1015</v>
      </c>
      <c r="L71" s="257">
        <f t="shared" si="18"/>
        <v>8276.4883004066851</v>
      </c>
      <c r="M71" s="629"/>
      <c r="N71" s="192" t="s">
        <v>1165</v>
      </c>
      <c r="O71" s="728">
        <f t="shared" si="16"/>
        <v>41743</v>
      </c>
      <c r="P71" s="771">
        <v>400</v>
      </c>
      <c r="Q71" s="256">
        <v>17618</v>
      </c>
      <c r="R71" s="8">
        <f t="shared" si="19"/>
        <v>7047200</v>
      </c>
      <c r="S71" s="443"/>
      <c r="T71" s="730"/>
      <c r="U71" s="754"/>
      <c r="V71" s="754"/>
      <c r="W71" s="8">
        <f t="shared" si="20"/>
        <v>0</v>
      </c>
    </row>
    <row r="72" spans="1:23">
      <c r="A72" s="751">
        <f t="shared" si="21"/>
        <v>13</v>
      </c>
      <c r="B72" s="296" t="s">
        <v>501</v>
      </c>
      <c r="C72" s="728">
        <v>41746</v>
      </c>
      <c r="D72" s="729" t="s">
        <v>502</v>
      </c>
      <c r="E72" s="773">
        <f t="shared" si="17"/>
        <v>1784150</v>
      </c>
      <c r="F72" s="257">
        <f t="shared" si="14"/>
        <v>156967.3008046886</v>
      </c>
      <c r="G72" s="257">
        <f t="shared" si="14"/>
        <v>29558.118982278247</v>
      </c>
      <c r="H72" s="257">
        <f t="shared" si="14"/>
        <v>209796.734731848</v>
      </c>
      <c r="I72" s="257">
        <f t="shared" si="14"/>
        <v>185055.11884273688</v>
      </c>
      <c r="J72" s="25">
        <f t="shared" si="15"/>
        <v>2365527.2733615516</v>
      </c>
      <c r="K72" s="257">
        <v>436</v>
      </c>
      <c r="L72" s="257">
        <f t="shared" si="18"/>
        <v>5425.5212691778706</v>
      </c>
      <c r="M72" s="629"/>
      <c r="N72" s="40" t="s">
        <v>1200</v>
      </c>
      <c r="O72" s="728">
        <f t="shared" si="16"/>
        <v>41743</v>
      </c>
      <c r="P72" s="771">
        <v>170</v>
      </c>
      <c r="Q72" s="256">
        <v>10495</v>
      </c>
      <c r="R72" s="8">
        <f t="shared" si="19"/>
        <v>1784150</v>
      </c>
      <c r="S72" s="443"/>
      <c r="T72" s="730"/>
      <c r="U72" s="754"/>
      <c r="V72" s="754"/>
      <c r="W72" s="8">
        <f t="shared" si="20"/>
        <v>0</v>
      </c>
    </row>
    <row r="73" spans="1:23">
      <c r="A73" s="751">
        <f t="shared" si="21"/>
        <v>14</v>
      </c>
      <c r="B73" s="296" t="s">
        <v>504</v>
      </c>
      <c r="C73" s="728">
        <v>41746</v>
      </c>
      <c r="D73" s="729" t="s">
        <v>502</v>
      </c>
      <c r="E73" s="773">
        <f t="shared" si="17"/>
        <v>820880</v>
      </c>
      <c r="F73" s="257">
        <f t="shared" si="14"/>
        <v>108725.05697939439</v>
      </c>
      <c r="G73" s="257">
        <f t="shared" si="14"/>
        <v>20473.74296478906</v>
      </c>
      <c r="H73" s="257">
        <f t="shared" si="14"/>
        <v>145317.92176380297</v>
      </c>
      <c r="I73" s="257">
        <f t="shared" si="14"/>
        <v>128180.38048281315</v>
      </c>
      <c r="J73" s="25">
        <f t="shared" si="15"/>
        <v>1223577.1021907995</v>
      </c>
      <c r="K73" s="257">
        <v>302</v>
      </c>
      <c r="L73" s="257">
        <f t="shared" si="18"/>
        <v>4051.5798085788065</v>
      </c>
      <c r="M73" s="629"/>
      <c r="N73" s="40" t="s">
        <v>1188</v>
      </c>
      <c r="O73" s="728">
        <f t="shared" si="16"/>
        <v>41743</v>
      </c>
      <c r="P73" s="301">
        <v>80</v>
      </c>
      <c r="Q73" s="256">
        <v>10261</v>
      </c>
      <c r="R73" s="8">
        <f t="shared" si="19"/>
        <v>820880</v>
      </c>
      <c r="S73" s="443"/>
      <c r="T73" s="730"/>
      <c r="U73" s="754"/>
      <c r="V73" s="754"/>
      <c r="W73" s="8">
        <f t="shared" si="20"/>
        <v>0</v>
      </c>
    </row>
    <row r="74" spans="1:23">
      <c r="A74" s="751">
        <f t="shared" si="21"/>
        <v>15</v>
      </c>
      <c r="B74" s="296" t="s">
        <v>505</v>
      </c>
      <c r="C74" s="728">
        <v>41746</v>
      </c>
      <c r="D74" s="729" t="s">
        <v>502</v>
      </c>
      <c r="E74" s="773">
        <f t="shared" si="17"/>
        <v>1465200</v>
      </c>
      <c r="F74" s="257">
        <f t="shared" si="14"/>
        <v>109085.07372435927</v>
      </c>
      <c r="G74" s="257">
        <f t="shared" si="14"/>
        <v>20541.536815665848</v>
      </c>
      <c r="H74" s="257">
        <f t="shared" si="14"/>
        <v>145799.10693520628</v>
      </c>
      <c r="I74" s="257">
        <f t="shared" si="14"/>
        <v>128604.81882878274</v>
      </c>
      <c r="J74" s="25">
        <f t="shared" si="15"/>
        <v>1869230.5363040143</v>
      </c>
      <c r="K74" s="257">
        <v>303</v>
      </c>
      <c r="L74" s="257">
        <f t="shared" si="18"/>
        <v>6169.0776775710046</v>
      </c>
      <c r="M74" s="629"/>
      <c r="N74" s="40" t="s">
        <v>1181</v>
      </c>
      <c r="O74" s="728">
        <f t="shared" si="16"/>
        <v>41743</v>
      </c>
      <c r="P74" s="301">
        <v>90</v>
      </c>
      <c r="Q74" s="756">
        <v>16280</v>
      </c>
      <c r="R74" s="8">
        <f t="shared" si="19"/>
        <v>1465200</v>
      </c>
      <c r="S74" s="443"/>
      <c r="T74" s="730"/>
      <c r="U74" s="754"/>
      <c r="V74" s="754"/>
      <c r="W74" s="8">
        <f t="shared" si="20"/>
        <v>0</v>
      </c>
    </row>
    <row r="75" spans="1:23">
      <c r="A75" s="751">
        <f t="shared" si="21"/>
        <v>16</v>
      </c>
      <c r="B75" s="296" t="s">
        <v>406</v>
      </c>
      <c r="C75" s="728">
        <v>41746</v>
      </c>
      <c r="D75" s="729" t="s">
        <v>502</v>
      </c>
      <c r="E75" s="773">
        <f t="shared" si="17"/>
        <v>1016400</v>
      </c>
      <c r="F75" s="257">
        <f t="shared" si="14"/>
        <v>72003.348992976418</v>
      </c>
      <c r="G75" s="257">
        <f t="shared" si="14"/>
        <v>13558.770175356995</v>
      </c>
      <c r="H75" s="257">
        <f t="shared" si="14"/>
        <v>96237.034280664215</v>
      </c>
      <c r="I75" s="257">
        <f t="shared" si="14"/>
        <v>84887.669193915994</v>
      </c>
      <c r="J75" s="25">
        <f t="shared" si="15"/>
        <v>1283086.8226429136</v>
      </c>
      <c r="K75" s="257">
        <v>200</v>
      </c>
      <c r="L75" s="257">
        <f t="shared" si="18"/>
        <v>6415.4341132145673</v>
      </c>
      <c r="M75" s="629"/>
      <c r="N75" s="189" t="s">
        <v>1105</v>
      </c>
      <c r="O75" s="728">
        <f t="shared" si="16"/>
        <v>41743</v>
      </c>
      <c r="P75" s="301">
        <v>50</v>
      </c>
      <c r="Q75" s="258">
        <v>20328</v>
      </c>
      <c r="R75" s="8">
        <f t="shared" si="19"/>
        <v>1016400</v>
      </c>
      <c r="S75" s="443"/>
      <c r="T75" s="730"/>
      <c r="U75" s="754"/>
      <c r="V75" s="754"/>
      <c r="W75" s="8">
        <f t="shared" si="20"/>
        <v>0</v>
      </c>
    </row>
    <row r="76" spans="1:23">
      <c r="A76" s="751">
        <f>IF(B76&lt;&gt;"",A75+1,"")</f>
        <v>17</v>
      </c>
      <c r="B76" s="296" t="s">
        <v>418</v>
      </c>
      <c r="C76" s="728">
        <v>41748</v>
      </c>
      <c r="D76" s="729" t="s">
        <v>506</v>
      </c>
      <c r="E76" s="773">
        <f t="shared" si="17"/>
        <v>6296500</v>
      </c>
      <c r="F76" s="257">
        <f t="shared" si="14"/>
        <v>668191.07865482115</v>
      </c>
      <c r="G76" s="257">
        <f t="shared" si="14"/>
        <v>125825.38722731291</v>
      </c>
      <c r="H76" s="257">
        <f t="shared" si="14"/>
        <v>893079.67812456388</v>
      </c>
      <c r="I76" s="257">
        <f t="shared" si="14"/>
        <v>787757.57011954044</v>
      </c>
      <c r="J76" s="25">
        <f t="shared" si="15"/>
        <v>8771353.7141262386</v>
      </c>
      <c r="K76" s="257">
        <v>1856</v>
      </c>
      <c r="L76" s="257">
        <f t="shared" si="18"/>
        <v>4725.9448890766371</v>
      </c>
      <c r="M76" s="629"/>
      <c r="N76" s="40" t="s">
        <v>1199</v>
      </c>
      <c r="O76" s="728">
        <f t="shared" si="16"/>
        <v>41745</v>
      </c>
      <c r="P76" s="301">
        <v>250</v>
      </c>
      <c r="Q76" s="258">
        <v>25186</v>
      </c>
      <c r="R76" s="8">
        <f t="shared" si="19"/>
        <v>6296500</v>
      </c>
      <c r="S76" s="443"/>
      <c r="T76" s="730"/>
      <c r="U76" s="754"/>
      <c r="V76" s="754"/>
      <c r="W76" s="8">
        <f t="shared" si="20"/>
        <v>0</v>
      </c>
    </row>
    <row r="77" spans="1:23">
      <c r="A77" s="751">
        <f t="shared" si="21"/>
        <v>18</v>
      </c>
      <c r="B77" s="296" t="s">
        <v>422</v>
      </c>
      <c r="C77" s="728">
        <v>41750</v>
      </c>
      <c r="D77" s="729" t="s">
        <v>507</v>
      </c>
      <c r="E77" s="773">
        <f t="shared" si="17"/>
        <v>7480000</v>
      </c>
      <c r="F77" s="257">
        <f t="shared" si="14"/>
        <v>180008.37248244105</v>
      </c>
      <c r="G77" s="257">
        <f t="shared" si="14"/>
        <v>33896.925438392485</v>
      </c>
      <c r="H77" s="257">
        <f t="shared" si="14"/>
        <v>240592.58570166054</v>
      </c>
      <c r="I77" s="257">
        <f t="shared" si="14"/>
        <v>212219.17298479</v>
      </c>
      <c r="J77" s="25">
        <f t="shared" si="15"/>
        <v>8146717.0566072846</v>
      </c>
      <c r="K77" s="257">
        <v>500</v>
      </c>
      <c r="L77" s="257">
        <f t="shared" si="18"/>
        <v>16293.434113214569</v>
      </c>
      <c r="M77" s="629"/>
      <c r="N77" s="40" t="s">
        <v>1179</v>
      </c>
      <c r="O77" s="728">
        <f t="shared" si="16"/>
        <v>41747</v>
      </c>
      <c r="P77" s="301">
        <v>250</v>
      </c>
      <c r="Q77" s="258">
        <v>29920</v>
      </c>
      <c r="R77" s="8">
        <f t="shared" si="19"/>
        <v>7480000</v>
      </c>
      <c r="S77" s="443"/>
      <c r="T77" s="730"/>
      <c r="U77" s="754"/>
      <c r="V77" s="754"/>
      <c r="W77" s="8">
        <f t="shared" si="20"/>
        <v>0</v>
      </c>
    </row>
    <row r="78" spans="1:23">
      <c r="A78" s="751">
        <f t="shared" si="21"/>
        <v>19</v>
      </c>
      <c r="B78" s="296" t="s">
        <v>446</v>
      </c>
      <c r="C78" s="728">
        <v>41750</v>
      </c>
      <c r="D78" s="729" t="s">
        <v>507</v>
      </c>
      <c r="E78" s="773">
        <f t="shared" si="17"/>
        <v>274830</v>
      </c>
      <c r="F78" s="257">
        <f t="shared" si="14"/>
        <v>360016.74496488209</v>
      </c>
      <c r="G78" s="257">
        <f t="shared" si="14"/>
        <v>67793.850876784971</v>
      </c>
      <c r="H78" s="257">
        <f t="shared" si="14"/>
        <v>481185.17140332109</v>
      </c>
      <c r="I78" s="257">
        <f t="shared" si="14"/>
        <v>424438.34596958</v>
      </c>
      <c r="J78" s="25">
        <f t="shared" si="15"/>
        <v>1608264.1132145682</v>
      </c>
      <c r="K78" s="257">
        <v>1000</v>
      </c>
      <c r="L78" s="257">
        <f t="shared" si="18"/>
        <v>1608.2641132145682</v>
      </c>
      <c r="M78" s="629"/>
      <c r="N78" s="40" t="s">
        <v>1180</v>
      </c>
      <c r="O78" s="728">
        <f t="shared" si="16"/>
        <v>41747</v>
      </c>
      <c r="P78" s="301">
        <v>30</v>
      </c>
      <c r="Q78" s="258">
        <v>9161</v>
      </c>
      <c r="R78" s="8">
        <f t="shared" si="19"/>
        <v>274830</v>
      </c>
      <c r="S78" s="443"/>
      <c r="T78" s="730"/>
      <c r="U78" s="754"/>
      <c r="V78" s="754"/>
      <c r="W78" s="8">
        <f t="shared" si="20"/>
        <v>0</v>
      </c>
    </row>
    <row r="79" spans="1:23">
      <c r="A79" s="751">
        <f t="shared" si="21"/>
        <v>20</v>
      </c>
      <c r="B79" s="296" t="s">
        <v>424</v>
      </c>
      <c r="C79" s="728">
        <v>41752</v>
      </c>
      <c r="D79" s="729" t="s">
        <v>508</v>
      </c>
      <c r="E79" s="773">
        <f t="shared" si="17"/>
        <v>2899971</v>
      </c>
      <c r="F79" s="257">
        <f t="shared" si="14"/>
        <v>180008.37248244105</v>
      </c>
      <c r="G79" s="257">
        <f t="shared" si="14"/>
        <v>33896.925438392485</v>
      </c>
      <c r="H79" s="257">
        <f t="shared" si="14"/>
        <v>240592.58570166054</v>
      </c>
      <c r="I79" s="257">
        <f t="shared" si="14"/>
        <v>212219.17298479</v>
      </c>
      <c r="J79" s="25">
        <f t="shared" si="15"/>
        <v>3566688.0566072841</v>
      </c>
      <c r="K79" s="257">
        <v>500</v>
      </c>
      <c r="L79" s="257">
        <f t="shared" si="18"/>
        <v>7133.3761132145682</v>
      </c>
      <c r="M79" s="629"/>
      <c r="N79" s="189" t="s">
        <v>1146</v>
      </c>
      <c r="O79" s="728">
        <f t="shared" si="16"/>
        <v>41749</v>
      </c>
      <c r="P79" s="301">
        <v>271</v>
      </c>
      <c r="Q79" s="256">
        <v>10701</v>
      </c>
      <c r="R79" s="8">
        <f t="shared" si="19"/>
        <v>2899971</v>
      </c>
      <c r="S79" s="443"/>
      <c r="T79" s="730"/>
      <c r="U79" s="754"/>
      <c r="V79" s="754"/>
      <c r="W79" s="8">
        <f t="shared" si="20"/>
        <v>0</v>
      </c>
    </row>
    <row r="80" spans="1:23">
      <c r="A80" s="751">
        <f t="shared" si="21"/>
        <v>21</v>
      </c>
      <c r="B80" s="296" t="s">
        <v>424</v>
      </c>
      <c r="C80" s="728">
        <v>41752</v>
      </c>
      <c r="D80" s="729" t="s">
        <v>508</v>
      </c>
      <c r="E80" s="773">
        <f t="shared" si="17"/>
        <v>3944000</v>
      </c>
      <c r="F80" s="257">
        <f t="shared" ref="F80:I99" si="22">IF($K$134&lt;&gt;0,F$134/$K$134*$K80,0)</f>
        <v>181448.43946230056</v>
      </c>
      <c r="G80" s="257">
        <f t="shared" si="22"/>
        <v>34168.100841899628</v>
      </c>
      <c r="H80" s="257">
        <f t="shared" si="22"/>
        <v>242517.32638727382</v>
      </c>
      <c r="I80" s="257">
        <f t="shared" si="22"/>
        <v>213916.92636866833</v>
      </c>
      <c r="J80" s="25">
        <f t="shared" si="15"/>
        <v>4616050.7930601425</v>
      </c>
      <c r="K80" s="257">
        <v>504</v>
      </c>
      <c r="L80" s="257">
        <f t="shared" si="18"/>
        <v>9158.8309386113942</v>
      </c>
      <c r="M80" s="629"/>
      <c r="N80" s="189" t="s">
        <v>1157</v>
      </c>
      <c r="O80" s="728">
        <f t="shared" si="16"/>
        <v>41749</v>
      </c>
      <c r="P80" s="301">
        <v>500</v>
      </c>
      <c r="Q80" s="256">
        <v>7888</v>
      </c>
      <c r="R80" s="8">
        <f t="shared" si="19"/>
        <v>3944000</v>
      </c>
      <c r="S80" s="443"/>
      <c r="T80" s="730"/>
      <c r="U80" s="754"/>
      <c r="V80" s="754"/>
      <c r="W80" s="8">
        <f t="shared" si="20"/>
        <v>0</v>
      </c>
    </row>
    <row r="81" spans="1:23">
      <c r="A81" s="751">
        <f t="shared" si="21"/>
        <v>22</v>
      </c>
      <c r="B81" s="296" t="s">
        <v>509</v>
      </c>
      <c r="C81" s="728">
        <v>41755</v>
      </c>
      <c r="D81" s="729" t="s">
        <v>510</v>
      </c>
      <c r="E81" s="773">
        <f t="shared" si="17"/>
        <v>2447250</v>
      </c>
      <c r="F81" s="257">
        <f t="shared" si="22"/>
        <v>109805.10721428903</v>
      </c>
      <c r="G81" s="257">
        <f t="shared" si="22"/>
        <v>20677.124517419415</v>
      </c>
      <c r="H81" s="257">
        <f t="shared" si="22"/>
        <v>146761.47727801293</v>
      </c>
      <c r="I81" s="257">
        <f t="shared" si="22"/>
        <v>129453.6955207219</v>
      </c>
      <c r="J81" s="25">
        <f t="shared" si="15"/>
        <v>2853947.4045304433</v>
      </c>
      <c r="K81" s="257">
        <v>305</v>
      </c>
      <c r="L81" s="257">
        <f t="shared" si="18"/>
        <v>9357.2046050178469</v>
      </c>
      <c r="M81" s="629"/>
      <c r="N81" s="40" t="s">
        <v>1175</v>
      </c>
      <c r="O81" s="728">
        <f t="shared" si="16"/>
        <v>41752</v>
      </c>
      <c r="P81" s="301">
        <v>150</v>
      </c>
      <c r="Q81" s="258">
        <v>16315</v>
      </c>
      <c r="R81" s="8">
        <f t="shared" si="19"/>
        <v>2447250</v>
      </c>
      <c r="S81" s="443"/>
      <c r="T81" s="730"/>
      <c r="U81" s="754"/>
      <c r="V81" s="754"/>
      <c r="W81" s="8">
        <f t="shared" si="20"/>
        <v>0</v>
      </c>
    </row>
    <row r="82" spans="1:23">
      <c r="A82" s="751">
        <f t="shared" si="21"/>
        <v>23</v>
      </c>
      <c r="B82" s="296" t="s">
        <v>495</v>
      </c>
      <c r="C82" s="728">
        <v>41755</v>
      </c>
      <c r="D82" s="729" t="s">
        <v>510</v>
      </c>
      <c r="E82" s="773">
        <f t="shared" si="17"/>
        <v>3203830</v>
      </c>
      <c r="F82" s="257">
        <f t="shared" si="22"/>
        <v>190808.87483138751</v>
      </c>
      <c r="G82" s="257">
        <f t="shared" si="22"/>
        <v>35930.740964696037</v>
      </c>
      <c r="H82" s="257">
        <f t="shared" si="22"/>
        <v>255028.14084376016</v>
      </c>
      <c r="I82" s="257">
        <f t="shared" si="22"/>
        <v>224952.3233638774</v>
      </c>
      <c r="J82" s="25">
        <f t="shared" si="15"/>
        <v>3910550.0800037207</v>
      </c>
      <c r="K82" s="257">
        <v>530</v>
      </c>
      <c r="L82" s="257">
        <f t="shared" si="18"/>
        <v>7378.3963773655105</v>
      </c>
      <c r="M82" s="629"/>
      <c r="N82" s="192" t="s">
        <v>1076</v>
      </c>
      <c r="O82" s="728">
        <f t="shared" si="16"/>
        <v>41752</v>
      </c>
      <c r="P82" s="301">
        <v>185</v>
      </c>
      <c r="Q82" s="258">
        <v>17318</v>
      </c>
      <c r="R82" s="8">
        <f t="shared" si="19"/>
        <v>3203830</v>
      </c>
      <c r="S82" s="443"/>
      <c r="T82" s="730"/>
      <c r="U82" s="754"/>
      <c r="V82" s="754"/>
      <c r="W82" s="8">
        <f t="shared" si="20"/>
        <v>0</v>
      </c>
    </row>
    <row r="83" spans="1:23">
      <c r="A83" s="751">
        <f t="shared" si="21"/>
        <v>24</v>
      </c>
      <c r="B83" s="296" t="s">
        <v>422</v>
      </c>
      <c r="C83" s="728">
        <v>41762</v>
      </c>
      <c r="D83" s="729" t="s">
        <v>511</v>
      </c>
      <c r="E83" s="773">
        <f t="shared" si="17"/>
        <v>7392000</v>
      </c>
      <c r="F83" s="257">
        <f t="shared" si="22"/>
        <v>180008.37248244105</v>
      </c>
      <c r="G83" s="257">
        <f t="shared" si="22"/>
        <v>33896.925438392485</v>
      </c>
      <c r="H83" s="257">
        <f t="shared" si="22"/>
        <v>240592.58570166054</v>
      </c>
      <c r="I83" s="257">
        <f t="shared" si="22"/>
        <v>212219.17298479</v>
      </c>
      <c r="J83" s="25">
        <f t="shared" si="15"/>
        <v>8058717.0566072846</v>
      </c>
      <c r="K83" s="257">
        <v>500</v>
      </c>
      <c r="L83" s="257">
        <f t="shared" si="18"/>
        <v>16117.434113214569</v>
      </c>
      <c r="M83" s="629"/>
      <c r="N83" s="192" t="s">
        <v>1160</v>
      </c>
      <c r="O83" s="728">
        <f t="shared" si="16"/>
        <v>41759</v>
      </c>
      <c r="P83" s="301">
        <v>500</v>
      </c>
      <c r="Q83" s="258">
        <v>14784</v>
      </c>
      <c r="R83" s="8">
        <f t="shared" si="19"/>
        <v>7392000</v>
      </c>
      <c r="S83" s="443"/>
      <c r="T83" s="730"/>
      <c r="U83" s="754"/>
      <c r="V83" s="754"/>
      <c r="W83" s="8">
        <f t="shared" si="20"/>
        <v>0</v>
      </c>
    </row>
    <row r="84" spans="1:23">
      <c r="A84" s="751">
        <f t="shared" si="21"/>
        <v>25</v>
      </c>
      <c r="B84" s="296" t="s">
        <v>446</v>
      </c>
      <c r="C84" s="728">
        <v>41762</v>
      </c>
      <c r="D84" s="729" t="s">
        <v>511</v>
      </c>
      <c r="E84" s="773">
        <f t="shared" si="17"/>
        <v>1648625</v>
      </c>
      <c r="F84" s="257">
        <f t="shared" si="22"/>
        <v>360016.74496488209</v>
      </c>
      <c r="G84" s="257">
        <f t="shared" si="22"/>
        <v>67793.850876784971</v>
      </c>
      <c r="H84" s="257">
        <f t="shared" si="22"/>
        <v>481185.17140332109</v>
      </c>
      <c r="I84" s="257">
        <f t="shared" si="22"/>
        <v>424438.34596958</v>
      </c>
      <c r="J84" s="25">
        <f t="shared" si="15"/>
        <v>2982059.1132145682</v>
      </c>
      <c r="K84" s="257">
        <v>1000</v>
      </c>
      <c r="L84" s="257">
        <f t="shared" si="18"/>
        <v>2982.0591132145682</v>
      </c>
      <c r="M84" s="629"/>
      <c r="N84" s="296" t="s">
        <v>1343</v>
      </c>
      <c r="O84" s="728">
        <f t="shared" si="16"/>
        <v>41759</v>
      </c>
      <c r="P84" s="771">
        <v>121</v>
      </c>
      <c r="Q84" s="258">
        <v>13625</v>
      </c>
      <c r="R84" s="8">
        <f t="shared" si="19"/>
        <v>1648625</v>
      </c>
      <c r="S84" s="443"/>
      <c r="T84" s="730"/>
      <c r="U84" s="754"/>
      <c r="V84" s="754"/>
      <c r="W84" s="8">
        <f t="shared" si="20"/>
        <v>0</v>
      </c>
    </row>
    <row r="85" spans="1:23">
      <c r="A85" s="751">
        <f t="shared" si="21"/>
        <v>26</v>
      </c>
      <c r="B85" s="296" t="s">
        <v>495</v>
      </c>
      <c r="C85" s="728">
        <v>41765</v>
      </c>
      <c r="D85" s="729" t="s">
        <v>512</v>
      </c>
      <c r="E85" s="773">
        <f t="shared" si="17"/>
        <v>3030650</v>
      </c>
      <c r="F85" s="257">
        <f t="shared" si="22"/>
        <v>180008.37248244105</v>
      </c>
      <c r="G85" s="257">
        <f t="shared" si="22"/>
        <v>33896.925438392485</v>
      </c>
      <c r="H85" s="257">
        <f t="shared" si="22"/>
        <v>240592.58570166054</v>
      </c>
      <c r="I85" s="257">
        <f t="shared" si="22"/>
        <v>212219.17298479</v>
      </c>
      <c r="J85" s="25">
        <f t="shared" si="15"/>
        <v>3697367.0566072841</v>
      </c>
      <c r="K85" s="257">
        <v>500</v>
      </c>
      <c r="L85" s="257">
        <f t="shared" si="18"/>
        <v>7394.7341132145684</v>
      </c>
      <c r="M85" s="629"/>
      <c r="N85" s="192" t="s">
        <v>1076</v>
      </c>
      <c r="O85" s="728">
        <f t="shared" si="16"/>
        <v>41762</v>
      </c>
      <c r="P85" s="301">
        <v>175</v>
      </c>
      <c r="Q85" s="258">
        <v>17318</v>
      </c>
      <c r="R85" s="8">
        <f t="shared" si="19"/>
        <v>3030650</v>
      </c>
      <c r="S85" s="443"/>
      <c r="T85" s="730"/>
      <c r="U85" s="754"/>
      <c r="V85" s="754"/>
      <c r="W85" s="8">
        <f t="shared" si="20"/>
        <v>0</v>
      </c>
    </row>
    <row r="86" spans="1:23">
      <c r="A86" s="751">
        <f t="shared" si="21"/>
        <v>27</v>
      </c>
      <c r="B86" s="296" t="s">
        <v>513</v>
      </c>
      <c r="C86" s="728">
        <v>41765</v>
      </c>
      <c r="D86" s="729" t="s">
        <v>512</v>
      </c>
      <c r="E86" s="773">
        <f t="shared" si="17"/>
        <v>1070100</v>
      </c>
      <c r="F86" s="257">
        <f t="shared" si="22"/>
        <v>72003.348992976418</v>
      </c>
      <c r="G86" s="257">
        <f t="shared" si="22"/>
        <v>13558.770175356995</v>
      </c>
      <c r="H86" s="257">
        <f t="shared" si="22"/>
        <v>96237.034280664215</v>
      </c>
      <c r="I86" s="257">
        <f t="shared" si="22"/>
        <v>84887.669193915994</v>
      </c>
      <c r="J86" s="25">
        <f t="shared" si="15"/>
        <v>1336786.8226429136</v>
      </c>
      <c r="K86" s="257">
        <v>200</v>
      </c>
      <c r="L86" s="257">
        <f t="shared" si="18"/>
        <v>6683.9341132145673</v>
      </c>
      <c r="M86" s="629"/>
      <c r="N86" s="189" t="s">
        <v>1146</v>
      </c>
      <c r="O86" s="728">
        <f t="shared" si="16"/>
        <v>41762</v>
      </c>
      <c r="P86" s="771">
        <v>100</v>
      </c>
      <c r="Q86" s="256">
        <v>10701</v>
      </c>
      <c r="R86" s="8">
        <f t="shared" si="19"/>
        <v>1070100</v>
      </c>
      <c r="S86" s="443"/>
      <c r="T86" s="730"/>
      <c r="U86" s="754"/>
      <c r="V86" s="754"/>
      <c r="W86" s="8">
        <f t="shared" si="20"/>
        <v>0</v>
      </c>
    </row>
    <row r="87" spans="1:23">
      <c r="A87" s="751">
        <f t="shared" si="21"/>
        <v>28</v>
      </c>
      <c r="B87" s="296" t="s">
        <v>447</v>
      </c>
      <c r="C87" s="728">
        <v>41772</v>
      </c>
      <c r="D87" s="729" t="s">
        <v>514</v>
      </c>
      <c r="E87" s="773">
        <f t="shared" si="17"/>
        <v>3640600</v>
      </c>
      <c r="F87" s="257">
        <f t="shared" si="22"/>
        <v>72003.348992976418</v>
      </c>
      <c r="G87" s="257">
        <f t="shared" si="22"/>
        <v>13558.770175356995</v>
      </c>
      <c r="H87" s="257">
        <f t="shared" si="22"/>
        <v>96237.034280664215</v>
      </c>
      <c r="I87" s="257">
        <f t="shared" si="22"/>
        <v>84887.669193915994</v>
      </c>
      <c r="J87" s="25">
        <f t="shared" si="15"/>
        <v>3907286.8226429136</v>
      </c>
      <c r="K87" s="257">
        <v>200</v>
      </c>
      <c r="L87" s="257">
        <f t="shared" si="18"/>
        <v>19536.434113214567</v>
      </c>
      <c r="M87" s="629"/>
      <c r="N87" s="189" t="s">
        <v>1153</v>
      </c>
      <c r="O87" s="728">
        <f t="shared" si="16"/>
        <v>41769</v>
      </c>
      <c r="P87" s="301">
        <v>200</v>
      </c>
      <c r="Q87" s="258">
        <v>18203</v>
      </c>
      <c r="R87" s="8">
        <f t="shared" si="19"/>
        <v>3640600</v>
      </c>
      <c r="S87" s="443"/>
      <c r="T87" s="730"/>
      <c r="U87" s="754"/>
      <c r="V87" s="754"/>
      <c r="W87" s="8">
        <f t="shared" si="20"/>
        <v>0</v>
      </c>
    </row>
    <row r="88" spans="1:23">
      <c r="A88" s="751">
        <f t="shared" si="21"/>
        <v>29</v>
      </c>
      <c r="B88" s="296" t="s">
        <v>437</v>
      </c>
      <c r="C88" s="728">
        <v>41774</v>
      </c>
      <c r="D88" s="729" t="s">
        <v>515</v>
      </c>
      <c r="E88" s="773">
        <f t="shared" si="17"/>
        <v>2548885</v>
      </c>
      <c r="F88" s="257">
        <f t="shared" si="22"/>
        <v>108005.02348946463</v>
      </c>
      <c r="G88" s="257">
        <f t="shared" si="22"/>
        <v>20338.155263035493</v>
      </c>
      <c r="H88" s="257">
        <f t="shared" si="22"/>
        <v>144355.55142099631</v>
      </c>
      <c r="I88" s="257">
        <f t="shared" si="22"/>
        <v>127331.50379087399</v>
      </c>
      <c r="J88" s="25">
        <f t="shared" si="15"/>
        <v>2948915.2339643706</v>
      </c>
      <c r="K88" s="257">
        <v>300</v>
      </c>
      <c r="L88" s="257">
        <f t="shared" si="18"/>
        <v>9829.717446547902</v>
      </c>
      <c r="M88" s="629"/>
      <c r="N88" s="296" t="s">
        <v>1342</v>
      </c>
      <c r="O88" s="728">
        <f t="shared" si="16"/>
        <v>41771</v>
      </c>
      <c r="P88" s="301">
        <v>137</v>
      </c>
      <c r="Q88" s="258">
        <v>18605</v>
      </c>
      <c r="R88" s="8">
        <f t="shared" si="19"/>
        <v>2548885</v>
      </c>
      <c r="S88" s="443"/>
      <c r="T88" s="730"/>
      <c r="U88" s="754"/>
      <c r="V88" s="754"/>
      <c r="W88" s="8">
        <f t="shared" si="20"/>
        <v>0</v>
      </c>
    </row>
    <row r="89" spans="1:23">
      <c r="A89" s="751">
        <f t="shared" si="21"/>
        <v>30</v>
      </c>
      <c r="B89" s="296" t="s">
        <v>516</v>
      </c>
      <c r="C89" s="728">
        <v>41774</v>
      </c>
      <c r="D89" s="729" t="s">
        <v>517</v>
      </c>
      <c r="E89" s="773">
        <f t="shared" si="17"/>
        <v>9504000</v>
      </c>
      <c r="F89" s="257">
        <f t="shared" si="22"/>
        <v>355336.52728033863</v>
      </c>
      <c r="G89" s="257">
        <f t="shared" si="22"/>
        <v>66912.530815386766</v>
      </c>
      <c r="H89" s="257">
        <f t="shared" si="22"/>
        <v>474929.7641750779</v>
      </c>
      <c r="I89" s="257">
        <f t="shared" si="22"/>
        <v>418920.64747197542</v>
      </c>
      <c r="J89" s="25">
        <f t="shared" si="15"/>
        <v>10820099.469742779</v>
      </c>
      <c r="K89" s="257">
        <v>987</v>
      </c>
      <c r="L89" s="257">
        <f t="shared" si="18"/>
        <v>10962.613444521559</v>
      </c>
      <c r="M89" s="629"/>
      <c r="N89" s="192" t="s">
        <v>1161</v>
      </c>
      <c r="O89" s="728">
        <f t="shared" si="16"/>
        <v>41771</v>
      </c>
      <c r="P89" s="301">
        <v>500</v>
      </c>
      <c r="Q89" s="256">
        <v>19008</v>
      </c>
      <c r="R89" s="8">
        <f t="shared" si="19"/>
        <v>9504000</v>
      </c>
      <c r="S89" s="443"/>
      <c r="T89" s="730"/>
      <c r="U89" s="754"/>
      <c r="V89" s="754"/>
      <c r="W89" s="8">
        <f t="shared" si="20"/>
        <v>0</v>
      </c>
    </row>
    <row r="90" spans="1:23">
      <c r="A90" s="751">
        <f t="shared" si="21"/>
        <v>31</v>
      </c>
      <c r="B90" s="296" t="s">
        <v>518</v>
      </c>
      <c r="C90" s="728">
        <v>41774</v>
      </c>
      <c r="D90" s="729" t="s">
        <v>519</v>
      </c>
      <c r="E90" s="773">
        <f t="shared" si="17"/>
        <v>9504000</v>
      </c>
      <c r="F90" s="257">
        <f t="shared" si="22"/>
        <v>358216.66124005767</v>
      </c>
      <c r="G90" s="257">
        <f t="shared" si="22"/>
        <v>67454.881622401052</v>
      </c>
      <c r="H90" s="257">
        <f t="shared" si="22"/>
        <v>478779.24554630445</v>
      </c>
      <c r="I90" s="257">
        <f t="shared" si="22"/>
        <v>422316.15423973207</v>
      </c>
      <c r="J90" s="25">
        <f t="shared" si="15"/>
        <v>10830766.942648495</v>
      </c>
      <c r="K90" s="257">
        <v>995</v>
      </c>
      <c r="L90" s="257">
        <f t="shared" si="18"/>
        <v>10885.192907184417</v>
      </c>
      <c r="M90" s="629"/>
      <c r="N90" s="192" t="s">
        <v>1161</v>
      </c>
      <c r="O90" s="728">
        <f t="shared" si="16"/>
        <v>41771</v>
      </c>
      <c r="P90" s="301">
        <v>500</v>
      </c>
      <c r="Q90" s="256">
        <v>19008</v>
      </c>
      <c r="R90" s="8">
        <f t="shared" si="19"/>
        <v>9504000</v>
      </c>
      <c r="S90" s="443"/>
      <c r="T90" s="730"/>
      <c r="U90" s="754"/>
      <c r="V90" s="754"/>
      <c r="W90" s="8">
        <f t="shared" si="20"/>
        <v>0</v>
      </c>
    </row>
    <row r="91" spans="1:23">
      <c r="A91" s="751">
        <f t="shared" si="21"/>
        <v>32</v>
      </c>
      <c r="B91" s="296" t="s">
        <v>520</v>
      </c>
      <c r="C91" s="728">
        <v>41774</v>
      </c>
      <c r="D91" s="729" t="s">
        <v>519</v>
      </c>
      <c r="E91" s="773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57">
        <v>497</v>
      </c>
      <c r="L91" s="257">
        <f t="shared" si="18"/>
        <v>9661.452221866477</v>
      </c>
      <c r="M91" s="761"/>
      <c r="N91" s="40" t="s">
        <v>1178</v>
      </c>
      <c r="O91" s="728">
        <f t="shared" si="16"/>
        <v>41771</v>
      </c>
      <c r="P91" s="301">
        <v>435</v>
      </c>
      <c r="Q91" s="258">
        <v>9515</v>
      </c>
      <c r="R91" s="8">
        <f t="shared" si="19"/>
        <v>4139025</v>
      </c>
      <c r="S91" s="443"/>
      <c r="T91" s="730"/>
      <c r="U91" s="754"/>
      <c r="V91" s="754"/>
      <c r="W91" s="8">
        <f t="shared" si="20"/>
        <v>0</v>
      </c>
    </row>
    <row r="92" spans="1:23">
      <c r="A92" s="751">
        <f>IF(B92&lt;&gt;"",A91+1,"")</f>
        <v>33</v>
      </c>
      <c r="B92" s="296" t="s">
        <v>484</v>
      </c>
      <c r="C92" s="728">
        <v>41778</v>
      </c>
      <c r="D92" s="729" t="s">
        <v>521</v>
      </c>
      <c r="E92" s="773">
        <f t="shared" si="17"/>
        <v>2193705</v>
      </c>
      <c r="F92" s="257">
        <f t="shared" si="22"/>
        <v>73803.432717800824</v>
      </c>
      <c r="G92" s="257">
        <f t="shared" si="22"/>
        <v>13897.739429740919</v>
      </c>
      <c r="H92" s="257">
        <f t="shared" si="22"/>
        <v>98642.960137680828</v>
      </c>
      <c r="I92" s="257">
        <f t="shared" si="22"/>
        <v>87009.860923763903</v>
      </c>
      <c r="J92" s="25">
        <f t="shared" ref="J92:J123" si="23">SUM(E92:I92)</f>
        <v>2467058.9932089858</v>
      </c>
      <c r="K92" s="257">
        <v>205</v>
      </c>
      <c r="L92" s="257">
        <f t="shared" si="18"/>
        <v>12034.434113214566</v>
      </c>
      <c r="M92" s="629"/>
      <c r="N92" s="189" t="s">
        <v>1146</v>
      </c>
      <c r="O92" s="728">
        <f t="shared" ref="O92:O123" si="24">C92-3</f>
        <v>41775</v>
      </c>
      <c r="P92" s="301">
        <v>205</v>
      </c>
      <c r="Q92" s="256">
        <v>10701</v>
      </c>
      <c r="R92" s="8">
        <f t="shared" si="19"/>
        <v>2193705</v>
      </c>
      <c r="S92" s="443"/>
      <c r="T92" s="730"/>
      <c r="U92" s="754"/>
      <c r="V92" s="754"/>
      <c r="W92" s="8">
        <f t="shared" si="20"/>
        <v>0</v>
      </c>
    </row>
    <row r="93" spans="1:23">
      <c r="A93" s="751">
        <f t="shared" si="21"/>
        <v>34</v>
      </c>
      <c r="B93" s="296" t="s">
        <v>488</v>
      </c>
      <c r="C93" s="728">
        <v>41778</v>
      </c>
      <c r="D93" s="729" t="s">
        <v>521</v>
      </c>
      <c r="E93" s="773">
        <f t="shared" si="17"/>
        <v>1179200</v>
      </c>
      <c r="F93" s="257">
        <f t="shared" si="22"/>
        <v>106924.97325456998</v>
      </c>
      <c r="G93" s="257">
        <f t="shared" si="22"/>
        <v>20134.773710405138</v>
      </c>
      <c r="H93" s="257">
        <f t="shared" si="22"/>
        <v>142911.99590678635</v>
      </c>
      <c r="I93" s="257">
        <f t="shared" si="22"/>
        <v>126058.18875296526</v>
      </c>
      <c r="J93" s="25">
        <f t="shared" si="23"/>
        <v>1575229.9316247269</v>
      </c>
      <c r="K93" s="257">
        <v>297</v>
      </c>
      <c r="L93" s="257">
        <f t="shared" si="18"/>
        <v>5303.8044835849387</v>
      </c>
      <c r="M93" s="629"/>
      <c r="N93" s="192" t="s">
        <v>1072</v>
      </c>
      <c r="O93" s="728">
        <f t="shared" si="24"/>
        <v>41775</v>
      </c>
      <c r="P93" s="301">
        <v>100</v>
      </c>
      <c r="Q93" s="256">
        <v>11792</v>
      </c>
      <c r="R93" s="8">
        <f t="shared" si="19"/>
        <v>1179200</v>
      </c>
      <c r="S93" s="443"/>
      <c r="T93" s="730"/>
      <c r="U93" s="754"/>
      <c r="V93" s="754"/>
      <c r="W93" s="8">
        <f t="shared" si="20"/>
        <v>0</v>
      </c>
    </row>
    <row r="94" spans="1:23">
      <c r="A94" s="751">
        <f t="shared" si="21"/>
        <v>35</v>
      </c>
      <c r="B94" s="296" t="s">
        <v>487</v>
      </c>
      <c r="C94" s="728">
        <v>41778</v>
      </c>
      <c r="D94" s="729" t="s">
        <v>521</v>
      </c>
      <c r="E94" s="773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57">
        <v>374</v>
      </c>
      <c r="L94" s="257">
        <f t="shared" si="18"/>
        <v>9083.9688725728556</v>
      </c>
      <c r="M94" s="761"/>
      <c r="N94" s="40" t="s">
        <v>1187</v>
      </c>
      <c r="O94" s="728">
        <f t="shared" si="24"/>
        <v>41775</v>
      </c>
      <c r="P94" s="301">
        <v>350</v>
      </c>
      <c r="Q94" s="256">
        <v>8282</v>
      </c>
      <c r="R94" s="8">
        <f t="shared" si="19"/>
        <v>2898700</v>
      </c>
      <c r="S94" s="443"/>
      <c r="T94" s="730"/>
      <c r="U94" s="754"/>
      <c r="V94" s="754"/>
      <c r="W94" s="8">
        <f t="shared" si="20"/>
        <v>0</v>
      </c>
    </row>
    <row r="95" spans="1:23">
      <c r="A95" s="751">
        <f>IF(B95&lt;&gt;"",A94+1,"")</f>
        <v>36</v>
      </c>
      <c r="B95" s="296" t="s">
        <v>495</v>
      </c>
      <c r="C95" s="728">
        <v>41778</v>
      </c>
      <c r="D95" s="729" t="s">
        <v>521</v>
      </c>
      <c r="E95" s="773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57">
        <v>399</v>
      </c>
      <c r="L95" s="257">
        <f t="shared" si="18"/>
        <v>8595.7499026882524</v>
      </c>
      <c r="M95" s="761"/>
      <c r="N95" s="40" t="s">
        <v>1186</v>
      </c>
      <c r="O95" s="728">
        <f t="shared" si="24"/>
        <v>41775</v>
      </c>
      <c r="P95" s="771">
        <v>147</v>
      </c>
      <c r="Q95" s="256">
        <v>19712</v>
      </c>
      <c r="R95" s="8">
        <f t="shared" si="19"/>
        <v>2897664</v>
      </c>
      <c r="S95" s="443"/>
      <c r="T95" s="730"/>
      <c r="U95" s="754"/>
      <c r="V95" s="754"/>
      <c r="W95" s="8">
        <f t="shared" si="20"/>
        <v>0</v>
      </c>
    </row>
    <row r="96" spans="1:23">
      <c r="A96" s="751">
        <f>IF(B96&lt;&gt;"",A95+1,"")</f>
        <v>37</v>
      </c>
      <c r="B96" s="296" t="s">
        <v>522</v>
      </c>
      <c r="C96" s="728">
        <v>41779</v>
      </c>
      <c r="D96" s="729" t="s">
        <v>523</v>
      </c>
      <c r="E96" s="773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57">
        <v>150</v>
      </c>
      <c r="L96" s="257">
        <f t="shared" si="18"/>
        <v>5271.4341132145682</v>
      </c>
      <c r="M96" s="761"/>
      <c r="N96" s="40" t="s">
        <v>1184</v>
      </c>
      <c r="O96" s="728">
        <f t="shared" si="24"/>
        <v>41776</v>
      </c>
      <c r="P96" s="301">
        <v>30</v>
      </c>
      <c r="Q96" s="256">
        <v>19690</v>
      </c>
      <c r="R96" s="8">
        <f t="shared" si="19"/>
        <v>590700</v>
      </c>
      <c r="S96" s="443"/>
      <c r="T96" s="730"/>
      <c r="U96" s="754"/>
      <c r="V96" s="754"/>
      <c r="W96" s="8">
        <f t="shared" si="20"/>
        <v>0</v>
      </c>
    </row>
    <row r="97" spans="1:23">
      <c r="A97" s="751">
        <f>IF(B97&lt;&gt;"",A96+1,"")</f>
        <v>38</v>
      </c>
      <c r="B97" s="296" t="s">
        <v>524</v>
      </c>
      <c r="C97" s="728">
        <v>41779</v>
      </c>
      <c r="D97" s="729" t="s">
        <v>523</v>
      </c>
      <c r="E97" s="773">
        <f t="shared" si="17"/>
        <v>4263000</v>
      </c>
      <c r="F97" s="257">
        <f t="shared" si="22"/>
        <v>450020.9312061026</v>
      </c>
      <c r="G97" s="257">
        <f t="shared" si="22"/>
        <v>84742.313595981221</v>
      </c>
      <c r="H97" s="257">
        <f t="shared" si="22"/>
        <v>601481.46425415133</v>
      </c>
      <c r="I97" s="257">
        <f t="shared" si="22"/>
        <v>530547.93246197503</v>
      </c>
      <c r="J97" s="25">
        <f t="shared" si="23"/>
        <v>5929792.6415182101</v>
      </c>
      <c r="K97" s="257">
        <v>1250</v>
      </c>
      <c r="L97" s="257">
        <f t="shared" si="18"/>
        <v>4743.8341132145679</v>
      </c>
      <c r="M97" s="629"/>
      <c r="N97" s="40" t="s">
        <v>1176</v>
      </c>
      <c r="O97" s="728">
        <f t="shared" si="24"/>
        <v>41776</v>
      </c>
      <c r="P97" s="301">
        <v>420</v>
      </c>
      <c r="Q97" s="256">
        <v>10150</v>
      </c>
      <c r="R97" s="8">
        <f t="shared" si="19"/>
        <v>4263000</v>
      </c>
      <c r="S97" s="443"/>
      <c r="T97" s="730"/>
      <c r="U97" s="754"/>
      <c r="V97" s="754"/>
      <c r="W97" s="8">
        <f t="shared" si="20"/>
        <v>0</v>
      </c>
    </row>
    <row r="98" spans="1:23">
      <c r="A98" s="751">
        <f t="shared" ref="A98:A132" si="25">IF(B98&lt;&gt;"",A97+1,"")</f>
        <v>39</v>
      </c>
      <c r="B98" s="296" t="s">
        <v>525</v>
      </c>
      <c r="C98" s="728">
        <v>41780</v>
      </c>
      <c r="D98" s="729" t="s">
        <v>526</v>
      </c>
      <c r="E98" s="773">
        <f t="shared" si="17"/>
        <v>293152</v>
      </c>
      <c r="F98" s="257">
        <f t="shared" si="22"/>
        <v>432020.09395785851</v>
      </c>
      <c r="G98" s="257">
        <f t="shared" si="22"/>
        <v>81352.621052141971</v>
      </c>
      <c r="H98" s="257">
        <f t="shared" si="22"/>
        <v>577422.20568398526</v>
      </c>
      <c r="I98" s="257">
        <f t="shared" si="22"/>
        <v>509326.01516349596</v>
      </c>
      <c r="J98" s="25">
        <f t="shared" si="23"/>
        <v>1893272.9358574816</v>
      </c>
      <c r="K98" s="257">
        <v>1200</v>
      </c>
      <c r="L98" s="257">
        <f t="shared" si="18"/>
        <v>1577.7274465479013</v>
      </c>
      <c r="M98" s="629"/>
      <c r="N98" s="40" t="s">
        <v>1180</v>
      </c>
      <c r="O98" s="728">
        <f t="shared" si="24"/>
        <v>41777</v>
      </c>
      <c r="P98" s="301">
        <v>32</v>
      </c>
      <c r="Q98" s="258">
        <v>9161</v>
      </c>
      <c r="R98" s="8">
        <f t="shared" si="19"/>
        <v>293152</v>
      </c>
      <c r="S98" s="443"/>
      <c r="T98" s="730"/>
      <c r="U98" s="754"/>
      <c r="V98" s="754"/>
      <c r="W98" s="8">
        <f t="shared" si="20"/>
        <v>0</v>
      </c>
    </row>
    <row r="99" spans="1:23">
      <c r="A99" s="751">
        <f t="shared" si="25"/>
        <v>40</v>
      </c>
      <c r="B99" s="296" t="s">
        <v>467</v>
      </c>
      <c r="C99" s="728">
        <v>41780</v>
      </c>
      <c r="D99" s="729" t="s">
        <v>527</v>
      </c>
      <c r="E99" s="773">
        <f t="shared" si="17"/>
        <v>4767900</v>
      </c>
      <c r="F99" s="257">
        <f t="shared" si="22"/>
        <v>469821.85217917111</v>
      </c>
      <c r="G99" s="257">
        <f t="shared" si="22"/>
        <v>88470.97539420439</v>
      </c>
      <c r="H99" s="257">
        <f t="shared" si="22"/>
        <v>627946.64868133399</v>
      </c>
      <c r="I99" s="257">
        <f t="shared" si="22"/>
        <v>553892.04149030184</v>
      </c>
      <c r="J99" s="25">
        <f t="shared" si="23"/>
        <v>6508031.5177450115</v>
      </c>
      <c r="K99" s="257">
        <v>1305</v>
      </c>
      <c r="L99" s="257">
        <f t="shared" si="18"/>
        <v>4986.9973316053729</v>
      </c>
      <c r="M99" s="629"/>
      <c r="N99" s="189" t="s">
        <v>1155</v>
      </c>
      <c r="O99" s="728">
        <f t="shared" si="24"/>
        <v>41777</v>
      </c>
      <c r="P99" s="301">
        <v>300</v>
      </c>
      <c r="Q99" s="256">
        <v>15893</v>
      </c>
      <c r="R99" s="8">
        <f t="shared" si="19"/>
        <v>4767900</v>
      </c>
      <c r="S99" s="443"/>
      <c r="T99" s="730"/>
      <c r="U99" s="754"/>
      <c r="V99" s="754"/>
      <c r="W99" s="8">
        <f t="shared" si="20"/>
        <v>0</v>
      </c>
    </row>
    <row r="100" spans="1:23">
      <c r="A100" s="751">
        <f t="shared" si="25"/>
        <v>41</v>
      </c>
      <c r="B100" s="296" t="s">
        <v>528</v>
      </c>
      <c r="C100" s="728">
        <v>41781</v>
      </c>
      <c r="D100" s="729" t="s">
        <v>529</v>
      </c>
      <c r="E100" s="773">
        <f t="shared" si="17"/>
        <v>7489000</v>
      </c>
      <c r="F100" s="257">
        <f t="shared" ref="F100:I119" si="26">IF($K$134&lt;&gt;0,F$134/$K$134*$K100,0)</f>
        <v>178928.3222475464</v>
      </c>
      <c r="G100" s="257">
        <f t="shared" si="26"/>
        <v>33693.543885762134</v>
      </c>
      <c r="H100" s="257">
        <f t="shared" si="26"/>
        <v>239149.03018745058</v>
      </c>
      <c r="I100" s="257">
        <f t="shared" si="26"/>
        <v>210945.85794688124</v>
      </c>
      <c r="J100" s="25">
        <f t="shared" si="23"/>
        <v>8151716.7542676395</v>
      </c>
      <c r="K100" s="257">
        <v>497</v>
      </c>
      <c r="L100" s="257">
        <f t="shared" si="18"/>
        <v>16401.844575991225</v>
      </c>
      <c r="M100" s="629"/>
      <c r="N100" s="192" t="s">
        <v>1074</v>
      </c>
      <c r="O100" s="728">
        <f t="shared" si="24"/>
        <v>41778</v>
      </c>
      <c r="P100" s="301">
        <v>500</v>
      </c>
      <c r="Q100" s="258">
        <v>14978</v>
      </c>
      <c r="R100" s="8">
        <f t="shared" si="19"/>
        <v>7489000</v>
      </c>
      <c r="S100" s="443"/>
      <c r="T100" s="730"/>
      <c r="U100" s="754"/>
      <c r="V100" s="754"/>
      <c r="W100" s="8">
        <f t="shared" si="20"/>
        <v>0</v>
      </c>
    </row>
    <row r="101" spans="1:23">
      <c r="A101" s="751">
        <f t="shared" si="25"/>
        <v>42</v>
      </c>
      <c r="B101" s="296" t="s">
        <v>464</v>
      </c>
      <c r="C101" s="728">
        <v>41786</v>
      </c>
      <c r="D101" s="729" t="s">
        <v>530</v>
      </c>
      <c r="E101" s="773">
        <f t="shared" si="17"/>
        <v>10231000</v>
      </c>
      <c r="F101" s="257">
        <f t="shared" si="26"/>
        <v>359296.71147495235</v>
      </c>
      <c r="G101" s="257">
        <f t="shared" si="26"/>
        <v>67658.263175031403</v>
      </c>
      <c r="H101" s="257">
        <f t="shared" si="26"/>
        <v>480222.80106051441</v>
      </c>
      <c r="I101" s="257">
        <f t="shared" si="26"/>
        <v>423589.4692776408</v>
      </c>
      <c r="J101" s="25">
        <f t="shared" si="23"/>
        <v>11561767.24498814</v>
      </c>
      <c r="K101" s="257">
        <v>998</v>
      </c>
      <c r="L101" s="257">
        <f t="shared" si="18"/>
        <v>11584.937119226593</v>
      </c>
      <c r="M101" s="629"/>
      <c r="N101" s="40" t="s">
        <v>1171</v>
      </c>
      <c r="O101" s="728">
        <f t="shared" si="24"/>
        <v>41783</v>
      </c>
      <c r="P101" s="301">
        <v>1000</v>
      </c>
      <c r="Q101" s="258">
        <v>10231</v>
      </c>
      <c r="R101" s="8">
        <f t="shared" si="19"/>
        <v>10231000</v>
      </c>
      <c r="S101" s="443"/>
      <c r="T101" s="730"/>
      <c r="U101" s="754"/>
      <c r="V101" s="754"/>
      <c r="W101" s="8">
        <f t="shared" si="20"/>
        <v>0</v>
      </c>
    </row>
    <row r="102" spans="1:23">
      <c r="A102" s="751">
        <f t="shared" si="25"/>
        <v>43</v>
      </c>
      <c r="B102" s="296" t="s">
        <v>437</v>
      </c>
      <c r="C102" s="728">
        <v>41788</v>
      </c>
      <c r="D102" s="729" t="s">
        <v>531</v>
      </c>
      <c r="E102" s="773">
        <f t="shared" si="17"/>
        <v>4111750</v>
      </c>
      <c r="F102" s="257">
        <f t="shared" si="26"/>
        <v>178568.30550258153</v>
      </c>
      <c r="G102" s="257">
        <f t="shared" si="26"/>
        <v>33625.75003488535</v>
      </c>
      <c r="H102" s="257">
        <f t="shared" si="26"/>
        <v>238667.84501604724</v>
      </c>
      <c r="I102" s="257">
        <f t="shared" si="26"/>
        <v>210521.41960091167</v>
      </c>
      <c r="J102" s="25">
        <f t="shared" si="23"/>
        <v>4773133.3201544257</v>
      </c>
      <c r="K102" s="257">
        <v>496</v>
      </c>
      <c r="L102" s="257">
        <f t="shared" si="18"/>
        <v>9623.2526616016639</v>
      </c>
      <c r="M102" s="629"/>
      <c r="N102" s="189" t="s">
        <v>1154</v>
      </c>
      <c r="O102" s="728">
        <f t="shared" si="24"/>
        <v>41785</v>
      </c>
      <c r="P102" s="301">
        <v>250</v>
      </c>
      <c r="Q102" s="258">
        <v>16447</v>
      </c>
      <c r="R102" s="8">
        <f t="shared" si="19"/>
        <v>4111750</v>
      </c>
      <c r="S102" s="443"/>
      <c r="T102" s="730"/>
      <c r="U102" s="754"/>
      <c r="V102" s="754"/>
      <c r="W102" s="8">
        <f t="shared" si="20"/>
        <v>0</v>
      </c>
    </row>
    <row r="103" spans="1:23">
      <c r="A103" s="751">
        <f t="shared" si="25"/>
        <v>44</v>
      </c>
      <c r="B103" s="296" t="s">
        <v>509</v>
      </c>
      <c r="C103" s="728">
        <v>41788</v>
      </c>
      <c r="D103" s="729" t="s">
        <v>532</v>
      </c>
      <c r="E103" s="773">
        <f t="shared" si="17"/>
        <v>2345500</v>
      </c>
      <c r="F103" s="257">
        <f t="shared" si="26"/>
        <v>109445.09046932416</v>
      </c>
      <c r="G103" s="257">
        <f t="shared" si="26"/>
        <v>20609.330666542632</v>
      </c>
      <c r="H103" s="257">
        <f t="shared" si="26"/>
        <v>146280.29210660962</v>
      </c>
      <c r="I103" s="257">
        <f t="shared" si="26"/>
        <v>129029.25717475232</v>
      </c>
      <c r="J103" s="25">
        <f t="shared" si="23"/>
        <v>2750863.9704172285</v>
      </c>
      <c r="K103" s="257">
        <v>304</v>
      </c>
      <c r="L103" s="257">
        <f t="shared" si="18"/>
        <v>9048.8946395303574</v>
      </c>
      <c r="M103" s="629"/>
      <c r="N103" s="296" t="s">
        <v>1332</v>
      </c>
      <c r="O103" s="728">
        <f t="shared" si="24"/>
        <v>41785</v>
      </c>
      <c r="P103" s="301">
        <v>100</v>
      </c>
      <c r="Q103" s="256">
        <v>23455</v>
      </c>
      <c r="R103" s="8">
        <f t="shared" si="19"/>
        <v>2345500</v>
      </c>
      <c r="S103" s="443"/>
      <c r="T103" s="730"/>
      <c r="U103" s="754"/>
      <c r="V103" s="754"/>
      <c r="W103" s="8">
        <f t="shared" si="20"/>
        <v>0</v>
      </c>
    </row>
    <row r="104" spans="1:23">
      <c r="A104" s="751">
        <f t="shared" si="25"/>
        <v>45</v>
      </c>
      <c r="B104" s="296" t="s">
        <v>533</v>
      </c>
      <c r="C104" s="728">
        <v>41788</v>
      </c>
      <c r="D104" s="729" t="s">
        <v>532</v>
      </c>
      <c r="E104" s="773">
        <f t="shared" si="17"/>
        <v>1575200</v>
      </c>
      <c r="F104" s="257">
        <f t="shared" si="26"/>
        <v>55442.57872459184</v>
      </c>
      <c r="G104" s="257">
        <f t="shared" si="26"/>
        <v>10440.253035024885</v>
      </c>
      <c r="H104" s="257">
        <f t="shared" si="26"/>
        <v>74102.516396111445</v>
      </c>
      <c r="I104" s="257">
        <f t="shared" si="26"/>
        <v>65363.505279315315</v>
      </c>
      <c r="J104" s="25">
        <f t="shared" si="23"/>
        <v>1780548.8534350435</v>
      </c>
      <c r="K104" s="257">
        <v>154</v>
      </c>
      <c r="L104" s="257">
        <f t="shared" si="18"/>
        <v>11562.005541785997</v>
      </c>
      <c r="M104" s="629"/>
      <c r="N104" s="40" t="s">
        <v>1184</v>
      </c>
      <c r="O104" s="728">
        <f t="shared" si="24"/>
        <v>41785</v>
      </c>
      <c r="P104" s="301">
        <v>80</v>
      </c>
      <c r="Q104" s="258">
        <v>19690</v>
      </c>
      <c r="R104" s="8">
        <f t="shared" si="19"/>
        <v>1575200</v>
      </c>
      <c r="S104" s="443"/>
      <c r="T104" s="730"/>
      <c r="U104" s="754"/>
      <c r="V104" s="754"/>
      <c r="W104" s="8">
        <f t="shared" si="20"/>
        <v>0</v>
      </c>
    </row>
    <row r="105" spans="1:23">
      <c r="A105" s="751">
        <f t="shared" si="25"/>
        <v>46</v>
      </c>
      <c r="B105" s="296" t="s">
        <v>495</v>
      </c>
      <c r="C105" s="728">
        <v>41788</v>
      </c>
      <c r="D105" s="729" t="s">
        <v>532</v>
      </c>
      <c r="E105" s="773">
        <f t="shared" si="17"/>
        <v>3004400</v>
      </c>
      <c r="F105" s="257">
        <f t="shared" si="26"/>
        <v>180008.37248244105</v>
      </c>
      <c r="G105" s="257">
        <f t="shared" si="26"/>
        <v>33896.925438392485</v>
      </c>
      <c r="H105" s="257">
        <f t="shared" si="26"/>
        <v>240592.58570166054</v>
      </c>
      <c r="I105" s="257">
        <f t="shared" si="26"/>
        <v>212219.17298479</v>
      </c>
      <c r="J105" s="25">
        <f t="shared" si="23"/>
        <v>3671117.0566072841</v>
      </c>
      <c r="K105" s="257">
        <v>500</v>
      </c>
      <c r="L105" s="257">
        <f t="shared" si="18"/>
        <v>7342.2341132145684</v>
      </c>
      <c r="M105" s="629"/>
      <c r="N105" s="40" t="s">
        <v>1174</v>
      </c>
      <c r="O105" s="728">
        <f t="shared" si="24"/>
        <v>41785</v>
      </c>
      <c r="P105" s="301">
        <v>350</v>
      </c>
      <c r="Q105" s="256">
        <v>8584</v>
      </c>
      <c r="R105" s="8">
        <f t="shared" si="19"/>
        <v>3004400</v>
      </c>
      <c r="S105" s="443"/>
      <c r="T105" s="730"/>
      <c r="U105" s="754"/>
      <c r="V105" s="754"/>
      <c r="W105" s="8">
        <f t="shared" si="20"/>
        <v>0</v>
      </c>
    </row>
    <row r="106" spans="1:23">
      <c r="A106" s="751">
        <f t="shared" si="25"/>
        <v>47</v>
      </c>
      <c r="B106" s="296" t="s">
        <v>534</v>
      </c>
      <c r="C106" s="728">
        <v>41788</v>
      </c>
      <c r="D106" s="729" t="s">
        <v>535</v>
      </c>
      <c r="E106" s="773">
        <f t="shared" si="17"/>
        <v>1224100</v>
      </c>
      <c r="F106" s="257">
        <f t="shared" si="26"/>
        <v>75243.499697660358</v>
      </c>
      <c r="G106" s="257">
        <f t="shared" si="26"/>
        <v>14168.91483324806</v>
      </c>
      <c r="H106" s="257">
        <f t="shared" si="26"/>
        <v>100567.7008232941</v>
      </c>
      <c r="I106" s="257">
        <f t="shared" si="26"/>
        <v>88707.614307642216</v>
      </c>
      <c r="J106" s="25">
        <f t="shared" si="23"/>
        <v>1502787.7296618447</v>
      </c>
      <c r="K106" s="257">
        <v>209</v>
      </c>
      <c r="L106" s="257">
        <f t="shared" si="18"/>
        <v>7190.3719122576304</v>
      </c>
      <c r="M106" s="629"/>
      <c r="N106" s="189" t="s">
        <v>1156</v>
      </c>
      <c r="O106" s="728">
        <f t="shared" si="24"/>
        <v>41785</v>
      </c>
      <c r="P106" s="771">
        <v>100</v>
      </c>
      <c r="Q106" s="256">
        <v>12241</v>
      </c>
      <c r="R106" s="8">
        <f t="shared" si="19"/>
        <v>1224100</v>
      </c>
      <c r="S106" s="443"/>
      <c r="T106" s="730"/>
      <c r="U106" s="754"/>
      <c r="V106" s="754"/>
      <c r="W106" s="8">
        <f t="shared" si="20"/>
        <v>0</v>
      </c>
    </row>
    <row r="107" spans="1:23">
      <c r="A107" s="751">
        <f t="shared" si="25"/>
        <v>48</v>
      </c>
      <c r="B107" s="296" t="s">
        <v>418</v>
      </c>
      <c r="C107" s="728">
        <v>41789</v>
      </c>
      <c r="D107" s="729" t="s">
        <v>537</v>
      </c>
      <c r="E107" s="773">
        <f t="shared" si="17"/>
        <v>8595840</v>
      </c>
      <c r="F107" s="257">
        <f t="shared" si="26"/>
        <v>713913.20526536123</v>
      </c>
      <c r="G107" s="257">
        <f t="shared" si="26"/>
        <v>134435.2062886646</v>
      </c>
      <c r="H107" s="257">
        <f t="shared" si="26"/>
        <v>954190.19489278574</v>
      </c>
      <c r="I107" s="257">
        <f t="shared" si="26"/>
        <v>841661.24005767715</v>
      </c>
      <c r="J107" s="25">
        <f t="shared" si="23"/>
        <v>11240039.846504491</v>
      </c>
      <c r="K107" s="257">
        <v>1983</v>
      </c>
      <c r="L107" s="257">
        <f t="shared" si="18"/>
        <v>5668.1996200224357</v>
      </c>
      <c r="M107" s="629"/>
      <c r="N107" s="189" t="s">
        <v>1100</v>
      </c>
      <c r="O107" s="728">
        <f t="shared" si="24"/>
        <v>41786</v>
      </c>
      <c r="P107" s="301">
        <v>370</v>
      </c>
      <c r="Q107" s="258">
        <v>23232</v>
      </c>
      <c r="R107" s="8">
        <f t="shared" si="19"/>
        <v>8595840</v>
      </c>
      <c r="S107" s="443"/>
      <c r="T107" s="730"/>
      <c r="U107" s="754"/>
      <c r="V107" s="754"/>
      <c r="W107" s="8">
        <f t="shared" si="20"/>
        <v>0</v>
      </c>
    </row>
    <row r="108" spans="1:23">
      <c r="A108" s="751">
        <f t="shared" si="25"/>
        <v>49</v>
      </c>
      <c r="B108" s="296" t="s">
        <v>538</v>
      </c>
      <c r="C108" s="728">
        <v>41789</v>
      </c>
      <c r="D108" s="729" t="s">
        <v>539</v>
      </c>
      <c r="E108" s="773">
        <f t="shared" si="17"/>
        <v>5864148</v>
      </c>
      <c r="F108" s="257">
        <f t="shared" si="26"/>
        <v>197289.17624075539</v>
      </c>
      <c r="G108" s="257">
        <f t="shared" si="26"/>
        <v>37151.030280478168</v>
      </c>
      <c r="H108" s="257">
        <f t="shared" si="26"/>
        <v>263689.47392901994</v>
      </c>
      <c r="I108" s="257">
        <f t="shared" si="26"/>
        <v>232592.21359132984</v>
      </c>
      <c r="J108" s="25">
        <f t="shared" si="23"/>
        <v>6594869.8940415829</v>
      </c>
      <c r="K108" s="257">
        <v>548</v>
      </c>
      <c r="L108" s="257">
        <f t="shared" si="18"/>
        <v>12034.434113214567</v>
      </c>
      <c r="M108" s="629"/>
      <c r="N108" s="189" t="s">
        <v>1146</v>
      </c>
      <c r="O108" s="728">
        <f t="shared" si="24"/>
        <v>41786</v>
      </c>
      <c r="P108" s="301">
        <f>K108</f>
        <v>548</v>
      </c>
      <c r="Q108" s="256">
        <v>10701</v>
      </c>
      <c r="R108" s="8">
        <f t="shared" si="19"/>
        <v>5864148</v>
      </c>
      <c r="S108" s="443"/>
      <c r="T108" s="730"/>
      <c r="U108" s="754"/>
      <c r="V108" s="754"/>
      <c r="W108" s="8">
        <f t="shared" si="20"/>
        <v>0</v>
      </c>
    </row>
    <row r="109" spans="1:23">
      <c r="A109" s="751">
        <f t="shared" si="25"/>
        <v>50</v>
      </c>
      <c r="B109" s="296" t="s">
        <v>422</v>
      </c>
      <c r="C109" s="728">
        <v>41792</v>
      </c>
      <c r="D109" s="729" t="s">
        <v>540</v>
      </c>
      <c r="E109" s="773">
        <f t="shared" si="17"/>
        <v>15616000</v>
      </c>
      <c r="F109" s="257">
        <f t="shared" si="26"/>
        <v>360016.74496488209</v>
      </c>
      <c r="G109" s="257">
        <f t="shared" si="26"/>
        <v>67793.850876784971</v>
      </c>
      <c r="H109" s="257">
        <f t="shared" si="26"/>
        <v>481185.17140332109</v>
      </c>
      <c r="I109" s="257">
        <f t="shared" si="26"/>
        <v>424438.34596958</v>
      </c>
      <c r="J109" s="25">
        <f t="shared" si="23"/>
        <v>16949434.113214567</v>
      </c>
      <c r="K109" s="257">
        <v>1000</v>
      </c>
      <c r="L109" s="257">
        <f t="shared" si="18"/>
        <v>16949.434113214567</v>
      </c>
      <c r="M109" s="629"/>
      <c r="N109" s="782" t="s">
        <v>1147</v>
      </c>
      <c r="O109" s="728">
        <f t="shared" si="24"/>
        <v>41789</v>
      </c>
      <c r="P109" s="301">
        <v>1000</v>
      </c>
      <c r="Q109" s="258">
        <v>15616</v>
      </c>
      <c r="R109" s="8">
        <f t="shared" si="19"/>
        <v>15616000</v>
      </c>
      <c r="S109" s="443"/>
      <c r="T109" s="730"/>
      <c r="U109" s="754"/>
      <c r="V109" s="754"/>
      <c r="W109" s="8">
        <f t="shared" si="20"/>
        <v>0</v>
      </c>
    </row>
    <row r="110" spans="1:23">
      <c r="A110" s="751">
        <f t="shared" si="25"/>
        <v>51</v>
      </c>
      <c r="B110" s="296" t="s">
        <v>541</v>
      </c>
      <c r="C110" s="728">
        <v>41792</v>
      </c>
      <c r="D110" s="729" t="s">
        <v>542</v>
      </c>
      <c r="E110" s="773">
        <f t="shared" si="17"/>
        <v>3777900</v>
      </c>
      <c r="F110" s="257">
        <f t="shared" si="26"/>
        <v>327615.23791804269</v>
      </c>
      <c r="G110" s="257">
        <f t="shared" si="26"/>
        <v>61692.404297874324</v>
      </c>
      <c r="H110" s="257">
        <f t="shared" si="26"/>
        <v>437878.50597702217</v>
      </c>
      <c r="I110" s="257">
        <f t="shared" si="26"/>
        <v>386238.89483231778</v>
      </c>
      <c r="J110" s="25">
        <f t="shared" si="23"/>
        <v>4991325.0430252571</v>
      </c>
      <c r="K110" s="257">
        <v>910</v>
      </c>
      <c r="L110" s="257">
        <f t="shared" si="18"/>
        <v>5484.9725747530301</v>
      </c>
      <c r="M110" s="629"/>
      <c r="N110" s="40" t="s">
        <v>1199</v>
      </c>
      <c r="O110" s="728">
        <f t="shared" si="24"/>
        <v>41789</v>
      </c>
      <c r="P110" s="301">
        <v>150</v>
      </c>
      <c r="Q110" s="258">
        <v>25186</v>
      </c>
      <c r="R110" s="8">
        <f t="shared" si="19"/>
        <v>3777900</v>
      </c>
      <c r="S110" s="443"/>
      <c r="T110" s="730"/>
      <c r="U110" s="754"/>
      <c r="V110" s="754"/>
      <c r="W110" s="8">
        <f t="shared" si="20"/>
        <v>0</v>
      </c>
    </row>
    <row r="111" spans="1:23">
      <c r="A111" s="751">
        <f t="shared" si="25"/>
        <v>52</v>
      </c>
      <c r="B111" s="296" t="s">
        <v>446</v>
      </c>
      <c r="C111" s="728">
        <v>41792</v>
      </c>
      <c r="D111" s="729" t="s">
        <v>543</v>
      </c>
      <c r="E111" s="773">
        <f t="shared" si="17"/>
        <v>366440</v>
      </c>
      <c r="F111" s="257">
        <f t="shared" si="26"/>
        <v>720033.48992976418</v>
      </c>
      <c r="G111" s="257">
        <f t="shared" si="26"/>
        <v>135587.70175356994</v>
      </c>
      <c r="H111" s="257">
        <f t="shared" si="26"/>
        <v>962370.34280664218</v>
      </c>
      <c r="I111" s="257">
        <f t="shared" si="26"/>
        <v>848876.69193915999</v>
      </c>
      <c r="J111" s="25">
        <f t="shared" si="23"/>
        <v>3033308.2264291365</v>
      </c>
      <c r="K111" s="257">
        <v>2000</v>
      </c>
      <c r="L111" s="257">
        <f t="shared" si="18"/>
        <v>1516.6541132145683</v>
      </c>
      <c r="M111" s="629"/>
      <c r="N111" s="40" t="s">
        <v>1180</v>
      </c>
      <c r="O111" s="728">
        <f t="shared" si="24"/>
        <v>41789</v>
      </c>
      <c r="P111" s="301">
        <v>40</v>
      </c>
      <c r="Q111" s="258">
        <v>9161</v>
      </c>
      <c r="R111" s="8">
        <f t="shared" si="19"/>
        <v>366440</v>
      </c>
      <c r="S111" s="443"/>
      <c r="T111" s="730"/>
      <c r="U111" s="754"/>
      <c r="V111" s="754"/>
      <c r="W111" s="8">
        <f t="shared" si="20"/>
        <v>0</v>
      </c>
    </row>
    <row r="112" spans="1:23">
      <c r="A112" s="751">
        <f t="shared" si="25"/>
        <v>53</v>
      </c>
      <c r="B112" s="296" t="s">
        <v>501</v>
      </c>
      <c r="C112" s="728">
        <v>41794</v>
      </c>
      <c r="D112" s="729" t="s">
        <v>544</v>
      </c>
      <c r="E112" s="773">
        <f t="shared" si="17"/>
        <v>2342400</v>
      </c>
      <c r="F112" s="257">
        <f t="shared" si="26"/>
        <v>180008.37248244105</v>
      </c>
      <c r="G112" s="257">
        <f t="shared" si="26"/>
        <v>33896.925438392485</v>
      </c>
      <c r="H112" s="257">
        <f t="shared" si="26"/>
        <v>240592.58570166054</v>
      </c>
      <c r="I112" s="257">
        <f t="shared" si="26"/>
        <v>212219.17298479</v>
      </c>
      <c r="J112" s="25">
        <f t="shared" si="23"/>
        <v>3009117.0566072841</v>
      </c>
      <c r="K112" s="257">
        <v>500</v>
      </c>
      <c r="L112" s="257">
        <f t="shared" si="18"/>
        <v>6018.2341132145684</v>
      </c>
      <c r="M112" s="629"/>
      <c r="N112" s="782" t="s">
        <v>1147</v>
      </c>
      <c r="O112" s="728">
        <f t="shared" si="24"/>
        <v>41791</v>
      </c>
      <c r="P112" s="301">
        <v>150</v>
      </c>
      <c r="Q112" s="943">
        <v>15616</v>
      </c>
      <c r="R112" s="8">
        <f t="shared" si="19"/>
        <v>2342400</v>
      </c>
      <c r="S112" s="443"/>
      <c r="T112" s="730"/>
      <c r="U112" s="754"/>
      <c r="V112" s="754"/>
      <c r="W112" s="8">
        <f t="shared" si="20"/>
        <v>0</v>
      </c>
    </row>
    <row r="113" spans="1:23">
      <c r="A113" s="751">
        <f t="shared" si="25"/>
        <v>54</v>
      </c>
      <c r="B113" s="296" t="s">
        <v>504</v>
      </c>
      <c r="C113" s="728">
        <v>41794</v>
      </c>
      <c r="D113" s="729" t="s">
        <v>544</v>
      </c>
      <c r="E113" s="773">
        <f t="shared" si="17"/>
        <v>2518600</v>
      </c>
      <c r="F113" s="257">
        <f t="shared" si="26"/>
        <v>142926.64775105819</v>
      </c>
      <c r="G113" s="257">
        <f t="shared" si="26"/>
        <v>26914.158798083634</v>
      </c>
      <c r="H113" s="257">
        <f t="shared" si="26"/>
        <v>191030.51304711847</v>
      </c>
      <c r="I113" s="257">
        <f t="shared" si="26"/>
        <v>168502.02334992326</v>
      </c>
      <c r="J113" s="25">
        <f t="shared" si="23"/>
        <v>3047973.3429461834</v>
      </c>
      <c r="K113" s="257">
        <v>397</v>
      </c>
      <c r="L113" s="257">
        <f t="shared" si="18"/>
        <v>7677.5147177485724</v>
      </c>
      <c r="M113" s="629"/>
      <c r="N113" s="40" t="s">
        <v>1199</v>
      </c>
      <c r="O113" s="728">
        <f t="shared" si="24"/>
        <v>41791</v>
      </c>
      <c r="P113" s="301">
        <v>100</v>
      </c>
      <c r="Q113" s="258">
        <v>25186</v>
      </c>
      <c r="R113" s="8">
        <f t="shared" si="19"/>
        <v>2518600</v>
      </c>
      <c r="S113" s="443"/>
      <c r="T113" s="730"/>
      <c r="U113" s="754"/>
      <c r="V113" s="754"/>
      <c r="W113" s="8">
        <f t="shared" si="20"/>
        <v>0</v>
      </c>
    </row>
    <row r="114" spans="1:23">
      <c r="A114" s="751">
        <f t="shared" si="25"/>
        <v>55</v>
      </c>
      <c r="B114" s="296" t="s">
        <v>505</v>
      </c>
      <c r="C114" s="728">
        <v>41794</v>
      </c>
      <c r="D114" s="729" t="s">
        <v>544</v>
      </c>
      <c r="E114" s="773">
        <f t="shared" si="17"/>
        <v>976800</v>
      </c>
      <c r="F114" s="257">
        <f t="shared" si="26"/>
        <v>72003.348992976418</v>
      </c>
      <c r="G114" s="257">
        <f t="shared" si="26"/>
        <v>13558.770175356995</v>
      </c>
      <c r="H114" s="257">
        <f t="shared" si="26"/>
        <v>96237.034280664215</v>
      </c>
      <c r="I114" s="257">
        <f t="shared" si="26"/>
        <v>84887.669193915994</v>
      </c>
      <c r="J114" s="25">
        <f t="shared" si="23"/>
        <v>1243486.8226429136</v>
      </c>
      <c r="K114" s="257">
        <v>200</v>
      </c>
      <c r="L114" s="257">
        <f t="shared" si="18"/>
        <v>6217.4341132145673</v>
      </c>
      <c r="M114" s="629"/>
      <c r="N114" s="40" t="s">
        <v>1181</v>
      </c>
      <c r="O114" s="728">
        <f t="shared" si="24"/>
        <v>41791</v>
      </c>
      <c r="P114" s="301">
        <v>60</v>
      </c>
      <c r="Q114" s="943">
        <v>16280</v>
      </c>
      <c r="R114" s="8">
        <f t="shared" si="19"/>
        <v>976800</v>
      </c>
      <c r="S114" s="443"/>
      <c r="T114" s="730"/>
      <c r="U114" s="754"/>
      <c r="V114" s="754"/>
      <c r="W114" s="8">
        <f t="shared" si="20"/>
        <v>0</v>
      </c>
    </row>
    <row r="115" spans="1:23">
      <c r="A115" s="751">
        <f t="shared" si="25"/>
        <v>56</v>
      </c>
      <c r="B115" s="296" t="s">
        <v>406</v>
      </c>
      <c r="C115" s="728">
        <v>41794</v>
      </c>
      <c r="D115" s="729" t="s">
        <v>544</v>
      </c>
      <c r="E115" s="773">
        <f t="shared" si="17"/>
        <v>1016400</v>
      </c>
      <c r="F115" s="257">
        <f t="shared" si="26"/>
        <v>72003.348992976418</v>
      </c>
      <c r="G115" s="257">
        <f t="shared" si="26"/>
        <v>13558.770175356995</v>
      </c>
      <c r="H115" s="257">
        <f t="shared" si="26"/>
        <v>96237.034280664215</v>
      </c>
      <c r="I115" s="257">
        <f t="shared" si="26"/>
        <v>84887.669193915994</v>
      </c>
      <c r="J115" s="25">
        <f t="shared" si="23"/>
        <v>1283086.8226429136</v>
      </c>
      <c r="K115" s="257">
        <v>200</v>
      </c>
      <c r="L115" s="257">
        <f t="shared" si="18"/>
        <v>6415.4341132145673</v>
      </c>
      <c r="M115" s="629"/>
      <c r="N115" s="189" t="s">
        <v>1105</v>
      </c>
      <c r="O115" s="728">
        <f t="shared" si="24"/>
        <v>41791</v>
      </c>
      <c r="P115" s="301">
        <v>50</v>
      </c>
      <c r="Q115" s="258">
        <v>20328</v>
      </c>
      <c r="R115" s="8">
        <f t="shared" si="19"/>
        <v>1016400</v>
      </c>
      <c r="S115" s="443"/>
      <c r="T115" s="730"/>
      <c r="U115" s="754"/>
      <c r="V115" s="754"/>
      <c r="W115" s="8">
        <f t="shared" si="20"/>
        <v>0</v>
      </c>
    </row>
    <row r="116" spans="1:23">
      <c r="A116" s="751">
        <f t="shared" si="25"/>
        <v>57</v>
      </c>
      <c r="B116" s="296" t="s">
        <v>545</v>
      </c>
      <c r="C116" s="728">
        <v>41795</v>
      </c>
      <c r="D116" s="729" t="s">
        <v>546</v>
      </c>
      <c r="E116" s="773">
        <f t="shared" si="17"/>
        <v>3955990</v>
      </c>
      <c r="F116" s="257">
        <f t="shared" si="26"/>
        <v>68403.181543327591</v>
      </c>
      <c r="G116" s="257">
        <f t="shared" si="26"/>
        <v>12880.831666589145</v>
      </c>
      <c r="H116" s="257">
        <f t="shared" si="26"/>
        <v>91425.182566631003</v>
      </c>
      <c r="I116" s="257">
        <f t="shared" si="26"/>
        <v>80643.285734220204</v>
      </c>
      <c r="J116" s="25">
        <f t="shared" si="23"/>
        <v>4209342.4815107677</v>
      </c>
      <c r="K116" s="257">
        <v>190</v>
      </c>
      <c r="L116" s="257">
        <f t="shared" si="18"/>
        <v>22154.434113214567</v>
      </c>
      <c r="M116" s="629"/>
      <c r="N116" s="189" t="s">
        <v>1104</v>
      </c>
      <c r="O116" s="728">
        <f t="shared" si="24"/>
        <v>41792</v>
      </c>
      <c r="P116" s="301">
        <v>190</v>
      </c>
      <c r="Q116" s="256">
        <v>20821</v>
      </c>
      <c r="R116" s="8">
        <f t="shared" si="19"/>
        <v>3955990</v>
      </c>
      <c r="S116" s="443"/>
      <c r="T116" s="730"/>
      <c r="U116" s="754"/>
      <c r="V116" s="754"/>
      <c r="W116" s="8">
        <f t="shared" si="20"/>
        <v>0</v>
      </c>
    </row>
    <row r="117" spans="1:23">
      <c r="A117" s="751">
        <f t="shared" si="25"/>
        <v>58</v>
      </c>
      <c r="B117" s="296" t="s">
        <v>548</v>
      </c>
      <c r="C117" s="728">
        <v>41795</v>
      </c>
      <c r="D117" s="729" t="s">
        <v>546</v>
      </c>
      <c r="E117" s="773">
        <f t="shared" si="17"/>
        <v>4593600</v>
      </c>
      <c r="F117" s="257">
        <f t="shared" si="26"/>
        <v>68403.181543327591</v>
      </c>
      <c r="G117" s="257">
        <f t="shared" si="26"/>
        <v>12880.831666589145</v>
      </c>
      <c r="H117" s="257">
        <f t="shared" si="26"/>
        <v>91425.182566631003</v>
      </c>
      <c r="I117" s="257">
        <f t="shared" si="26"/>
        <v>80643.285734220204</v>
      </c>
      <c r="J117" s="25">
        <f t="shared" si="23"/>
        <v>4846952.4815107677</v>
      </c>
      <c r="K117" s="257">
        <v>190</v>
      </c>
      <c r="L117" s="257">
        <f t="shared" si="18"/>
        <v>25510.276218477724</v>
      </c>
      <c r="M117" s="629"/>
      <c r="N117" s="192" t="s">
        <v>1167</v>
      </c>
      <c r="O117" s="728">
        <f t="shared" si="24"/>
        <v>41792</v>
      </c>
      <c r="P117" s="301">
        <v>200</v>
      </c>
      <c r="Q117" s="256">
        <v>22968</v>
      </c>
      <c r="R117" s="8">
        <f t="shared" si="19"/>
        <v>4593600</v>
      </c>
      <c r="S117" s="443"/>
      <c r="T117" s="730"/>
      <c r="U117" s="754"/>
      <c r="V117" s="754"/>
      <c r="W117" s="8">
        <f t="shared" si="20"/>
        <v>0</v>
      </c>
    </row>
    <row r="118" spans="1:23">
      <c r="A118" s="751">
        <f t="shared" si="25"/>
        <v>59</v>
      </c>
      <c r="B118" s="296" t="s">
        <v>549</v>
      </c>
      <c r="C118" s="728">
        <v>41795</v>
      </c>
      <c r="D118" s="729" t="s">
        <v>550</v>
      </c>
      <c r="E118" s="773">
        <f t="shared" si="17"/>
        <v>914700</v>
      </c>
      <c r="F118" s="257">
        <f t="shared" si="26"/>
        <v>36001.674496488209</v>
      </c>
      <c r="G118" s="257">
        <f t="shared" si="26"/>
        <v>6779.3850876784973</v>
      </c>
      <c r="H118" s="257">
        <f t="shared" si="26"/>
        <v>48118.517140332107</v>
      </c>
      <c r="I118" s="257">
        <f t="shared" si="26"/>
        <v>42443.834596957997</v>
      </c>
      <c r="J118" s="25">
        <f t="shared" si="23"/>
        <v>1048043.4113214568</v>
      </c>
      <c r="K118" s="257">
        <v>100</v>
      </c>
      <c r="L118" s="257">
        <f t="shared" si="18"/>
        <v>10480.434113214567</v>
      </c>
      <c r="M118" s="629"/>
      <c r="N118" s="189" t="s">
        <v>1158</v>
      </c>
      <c r="O118" s="728">
        <f t="shared" si="24"/>
        <v>41792</v>
      </c>
      <c r="P118" s="301">
        <v>100</v>
      </c>
      <c r="Q118" s="258">
        <v>9147</v>
      </c>
      <c r="R118" s="8">
        <f t="shared" si="19"/>
        <v>914700</v>
      </c>
      <c r="S118" s="443"/>
      <c r="T118" s="730"/>
      <c r="U118" s="754"/>
      <c r="V118" s="754"/>
      <c r="W118" s="8">
        <f t="shared" si="20"/>
        <v>0</v>
      </c>
    </row>
    <row r="119" spans="1:23">
      <c r="A119" s="751">
        <f t="shared" si="25"/>
        <v>60</v>
      </c>
      <c r="B119" s="296" t="s">
        <v>552</v>
      </c>
      <c r="C119" s="728">
        <v>41795</v>
      </c>
      <c r="D119" s="729" t="s">
        <v>550</v>
      </c>
      <c r="E119" s="773">
        <f t="shared" si="17"/>
        <v>887040</v>
      </c>
      <c r="F119" s="257">
        <f t="shared" si="26"/>
        <v>72003.348992976418</v>
      </c>
      <c r="G119" s="257">
        <f t="shared" si="26"/>
        <v>13558.770175356995</v>
      </c>
      <c r="H119" s="257">
        <f t="shared" si="26"/>
        <v>96237.034280664215</v>
      </c>
      <c r="I119" s="257">
        <f t="shared" si="26"/>
        <v>84887.669193915994</v>
      </c>
      <c r="J119" s="25">
        <f t="shared" si="23"/>
        <v>1153726.8226429136</v>
      </c>
      <c r="K119" s="257">
        <v>200</v>
      </c>
      <c r="L119" s="257">
        <f t="shared" si="18"/>
        <v>5768.6341132145681</v>
      </c>
      <c r="M119" s="629"/>
      <c r="N119" s="189" t="s">
        <v>1101</v>
      </c>
      <c r="O119" s="728">
        <f t="shared" si="24"/>
        <v>41792</v>
      </c>
      <c r="P119" s="301">
        <f>K119/5</f>
        <v>40</v>
      </c>
      <c r="Q119" s="258">
        <v>22176</v>
      </c>
      <c r="R119" s="8">
        <f t="shared" si="19"/>
        <v>887040</v>
      </c>
      <c r="S119" s="443"/>
      <c r="T119" s="730"/>
      <c r="U119" s="754"/>
      <c r="V119" s="754"/>
      <c r="W119" s="8">
        <f t="shared" si="20"/>
        <v>0</v>
      </c>
    </row>
    <row r="120" spans="1:23">
      <c r="A120" s="751">
        <f t="shared" si="25"/>
        <v>61</v>
      </c>
      <c r="B120" s="296" t="s">
        <v>553</v>
      </c>
      <c r="C120" s="728">
        <v>41799</v>
      </c>
      <c r="D120" s="729" t="s">
        <v>554</v>
      </c>
      <c r="E120" s="773">
        <f t="shared" si="17"/>
        <v>1575200</v>
      </c>
      <c r="F120" s="257">
        <f t="shared" ref="F120:I132" si="27">IF($K$134&lt;&gt;0,F$134/$K$134*$K120,0)</f>
        <v>54002.511744732314</v>
      </c>
      <c r="G120" s="257">
        <f t="shared" si="27"/>
        <v>10169.077631517746</v>
      </c>
      <c r="H120" s="257">
        <f t="shared" si="27"/>
        <v>72177.775710498157</v>
      </c>
      <c r="I120" s="257">
        <f t="shared" si="27"/>
        <v>63665.751895436995</v>
      </c>
      <c r="J120" s="25">
        <f t="shared" si="23"/>
        <v>1775215.1169821853</v>
      </c>
      <c r="K120" s="257">
        <v>150</v>
      </c>
      <c r="L120" s="257">
        <f t="shared" si="18"/>
        <v>11834.767446547901</v>
      </c>
      <c r="M120" s="629"/>
      <c r="N120" s="40" t="s">
        <v>1184</v>
      </c>
      <c r="O120" s="728">
        <f t="shared" si="24"/>
        <v>41796</v>
      </c>
      <c r="P120" s="301">
        <v>80</v>
      </c>
      <c r="Q120" s="258">
        <v>19690</v>
      </c>
      <c r="R120" s="8">
        <f t="shared" si="19"/>
        <v>1575200</v>
      </c>
      <c r="S120" s="443"/>
      <c r="T120" s="730"/>
      <c r="U120" s="754"/>
      <c r="V120" s="754"/>
      <c r="W120" s="8">
        <f t="shared" si="20"/>
        <v>0</v>
      </c>
    </row>
    <row r="121" spans="1:23">
      <c r="A121" s="751">
        <f t="shared" si="25"/>
        <v>62</v>
      </c>
      <c r="B121" s="296" t="s">
        <v>555</v>
      </c>
      <c r="C121" s="728">
        <v>41806</v>
      </c>
      <c r="D121" s="729" t="s">
        <v>556</v>
      </c>
      <c r="E121" s="773">
        <f t="shared" si="17"/>
        <v>9081600</v>
      </c>
      <c r="F121" s="257">
        <f t="shared" si="27"/>
        <v>143286.66449602306</v>
      </c>
      <c r="G121" s="257">
        <f t="shared" si="27"/>
        <v>26981.952648960418</v>
      </c>
      <c r="H121" s="257">
        <f t="shared" si="27"/>
        <v>191511.69821852178</v>
      </c>
      <c r="I121" s="257">
        <f t="shared" si="27"/>
        <v>168926.46169589282</v>
      </c>
      <c r="J121" s="25">
        <f t="shared" si="23"/>
        <v>9612306.7770593986</v>
      </c>
      <c r="K121" s="257">
        <v>398</v>
      </c>
      <c r="L121" s="257">
        <f t="shared" si="18"/>
        <v>24151.524565475876</v>
      </c>
      <c r="M121" s="629"/>
      <c r="N121" s="40" t="s">
        <v>1173</v>
      </c>
      <c r="O121" s="728">
        <f t="shared" si="24"/>
        <v>41803</v>
      </c>
      <c r="P121" s="301">
        <v>400</v>
      </c>
      <c r="Q121" s="258">
        <v>22704</v>
      </c>
      <c r="R121" s="8">
        <f t="shared" si="19"/>
        <v>9081600</v>
      </c>
      <c r="S121" s="443"/>
      <c r="T121" s="730"/>
      <c r="U121" s="754"/>
      <c r="V121" s="754"/>
      <c r="W121" s="8">
        <f t="shared" si="20"/>
        <v>0</v>
      </c>
    </row>
    <row r="122" spans="1:23">
      <c r="A122" s="751">
        <f t="shared" si="25"/>
        <v>63</v>
      </c>
      <c r="B122" s="296" t="s">
        <v>553</v>
      </c>
      <c r="C122" s="728">
        <v>41807</v>
      </c>
      <c r="D122" s="729" t="s">
        <v>557</v>
      </c>
      <c r="E122" s="773">
        <f t="shared" si="17"/>
        <v>1374150</v>
      </c>
      <c r="F122" s="257">
        <f t="shared" si="27"/>
        <v>54002.511744732314</v>
      </c>
      <c r="G122" s="257">
        <f t="shared" si="27"/>
        <v>10169.077631517746</v>
      </c>
      <c r="H122" s="257">
        <f t="shared" si="27"/>
        <v>72177.775710498157</v>
      </c>
      <c r="I122" s="257">
        <f t="shared" si="27"/>
        <v>63665.751895436995</v>
      </c>
      <c r="J122" s="25">
        <f t="shared" si="23"/>
        <v>1574165.1169821853</v>
      </c>
      <c r="K122" s="257">
        <v>150</v>
      </c>
      <c r="L122" s="257">
        <f t="shared" si="18"/>
        <v>10494.434113214569</v>
      </c>
      <c r="M122" s="629"/>
      <c r="N122" s="40" t="s">
        <v>1180</v>
      </c>
      <c r="O122" s="728">
        <f t="shared" si="24"/>
        <v>41804</v>
      </c>
      <c r="P122" s="301">
        <f>K122</f>
        <v>150</v>
      </c>
      <c r="Q122" s="258">
        <v>9161</v>
      </c>
      <c r="R122" s="8">
        <f t="shared" si="19"/>
        <v>1374150</v>
      </c>
      <c r="S122" s="443"/>
      <c r="T122" s="730"/>
      <c r="U122" s="754"/>
      <c r="V122" s="754"/>
      <c r="W122" s="8">
        <f t="shared" si="20"/>
        <v>0</v>
      </c>
    </row>
    <row r="123" spans="1:23">
      <c r="A123" s="751">
        <f t="shared" si="25"/>
        <v>64</v>
      </c>
      <c r="B123" s="296" t="s">
        <v>495</v>
      </c>
      <c r="C123" s="728">
        <v>41810</v>
      </c>
      <c r="D123" s="729" t="s">
        <v>558</v>
      </c>
      <c r="E123" s="773">
        <f t="shared" si="17"/>
        <v>3290420</v>
      </c>
      <c r="F123" s="257">
        <f t="shared" si="27"/>
        <v>195129.0757709661</v>
      </c>
      <c r="G123" s="257">
        <f t="shared" si="27"/>
        <v>36744.267175217457</v>
      </c>
      <c r="H123" s="257">
        <f t="shared" si="27"/>
        <v>260802.36290060001</v>
      </c>
      <c r="I123" s="257">
        <f t="shared" si="27"/>
        <v>230045.58351551235</v>
      </c>
      <c r="J123" s="25">
        <f t="shared" si="23"/>
        <v>4013141.289362296</v>
      </c>
      <c r="K123" s="257">
        <v>542</v>
      </c>
      <c r="L123" s="257">
        <f t="shared" si="18"/>
        <v>7404.319722070657</v>
      </c>
      <c r="M123" s="629"/>
      <c r="N123" s="192" t="s">
        <v>1076</v>
      </c>
      <c r="O123" s="728">
        <f t="shared" si="24"/>
        <v>41807</v>
      </c>
      <c r="P123" s="301">
        <v>190</v>
      </c>
      <c r="Q123" s="258">
        <v>17318</v>
      </c>
      <c r="R123" s="8">
        <f t="shared" si="19"/>
        <v>3290420</v>
      </c>
      <c r="S123" s="443"/>
      <c r="T123" s="730"/>
      <c r="U123" s="754"/>
      <c r="V123" s="754"/>
      <c r="W123" s="8">
        <f t="shared" si="20"/>
        <v>0</v>
      </c>
    </row>
    <row r="124" spans="1:23">
      <c r="A124" s="751">
        <f t="shared" si="25"/>
        <v>65</v>
      </c>
      <c r="B124" s="296" t="s">
        <v>460</v>
      </c>
      <c r="C124" s="728">
        <v>41813</v>
      </c>
      <c r="D124" s="729" t="s">
        <v>559</v>
      </c>
      <c r="E124" s="773">
        <f t="shared" si="17"/>
        <v>6296500</v>
      </c>
      <c r="F124" s="257">
        <f t="shared" si="27"/>
        <v>354256.47704544396</v>
      </c>
      <c r="G124" s="257">
        <f t="shared" si="27"/>
        <v>66709.149262756415</v>
      </c>
      <c r="H124" s="257">
        <f t="shared" si="27"/>
        <v>473486.20866086794</v>
      </c>
      <c r="I124" s="257">
        <f t="shared" si="27"/>
        <v>417647.33243406669</v>
      </c>
      <c r="J124" s="25">
        <f t="shared" ref="J124:J132" si="28">SUM(E124:I124)</f>
        <v>7608599.1674031345</v>
      </c>
      <c r="K124" s="257">
        <v>984</v>
      </c>
      <c r="L124" s="257">
        <f t="shared" si="18"/>
        <v>7732.3162270357061</v>
      </c>
      <c r="M124" s="629"/>
      <c r="N124" s="192" t="s">
        <v>1166</v>
      </c>
      <c r="O124" s="728">
        <f t="shared" ref="O124:O132" si="29">C124-3</f>
        <v>41810</v>
      </c>
      <c r="P124" s="301">
        <v>250</v>
      </c>
      <c r="Q124" s="256">
        <v>25186</v>
      </c>
      <c r="R124" s="8">
        <f t="shared" si="19"/>
        <v>6296500</v>
      </c>
      <c r="S124" s="443"/>
      <c r="T124" s="730"/>
      <c r="U124" s="754"/>
      <c r="V124" s="754"/>
      <c r="W124" s="8">
        <f t="shared" si="20"/>
        <v>0</v>
      </c>
    </row>
    <row r="125" spans="1:23">
      <c r="A125" s="751">
        <f t="shared" si="25"/>
        <v>66</v>
      </c>
      <c r="B125" s="296" t="s">
        <v>560</v>
      </c>
      <c r="C125" s="728">
        <v>41814</v>
      </c>
      <c r="D125" s="729" t="s">
        <v>561</v>
      </c>
      <c r="E125" s="773">
        <f t="shared" ref="E125:E132" si="30">R125</f>
        <v>6135360</v>
      </c>
      <c r="F125" s="257">
        <f t="shared" si="27"/>
        <v>142566.63100609332</v>
      </c>
      <c r="G125" s="257">
        <f t="shared" si="27"/>
        <v>26846.36494720685</v>
      </c>
      <c r="H125" s="257">
        <f t="shared" si="27"/>
        <v>190549.32787571516</v>
      </c>
      <c r="I125" s="257">
        <f t="shared" si="27"/>
        <v>168077.58500395366</v>
      </c>
      <c r="J125" s="25">
        <f t="shared" si="28"/>
        <v>6663399.9088329691</v>
      </c>
      <c r="K125" s="257">
        <v>396</v>
      </c>
      <c r="L125" s="257">
        <f t="shared" ref="L125:L132" si="31">IF(K125&lt;&gt;"",J125/K125,"")</f>
        <v>16826.767446547903</v>
      </c>
      <c r="M125" s="629"/>
      <c r="N125" s="189" t="s">
        <v>1102</v>
      </c>
      <c r="O125" s="728">
        <f t="shared" si="29"/>
        <v>41811</v>
      </c>
      <c r="P125" s="301">
        <v>415</v>
      </c>
      <c r="Q125" s="258">
        <v>14784</v>
      </c>
      <c r="R125" s="8">
        <f t="shared" ref="R125:R132" si="32">P125*Q125</f>
        <v>6135360</v>
      </c>
      <c r="S125" s="443"/>
      <c r="T125" s="730"/>
      <c r="U125" s="754"/>
      <c r="V125" s="754"/>
      <c r="W125" s="8">
        <f t="shared" ref="W125:W132" si="33">U125*V125</f>
        <v>0</v>
      </c>
    </row>
    <row r="126" spans="1:23">
      <c r="A126" s="751">
        <f t="shared" si="25"/>
        <v>67</v>
      </c>
      <c r="B126" s="296" t="s">
        <v>563</v>
      </c>
      <c r="C126" s="728">
        <v>41814</v>
      </c>
      <c r="D126" s="729" t="s">
        <v>561</v>
      </c>
      <c r="E126" s="773">
        <f t="shared" si="30"/>
        <v>1478400</v>
      </c>
      <c r="F126" s="257">
        <f t="shared" si="27"/>
        <v>36001.674496488209</v>
      </c>
      <c r="G126" s="257">
        <f t="shared" si="27"/>
        <v>6779.3850876784973</v>
      </c>
      <c r="H126" s="257">
        <f t="shared" si="27"/>
        <v>48118.517140332107</v>
      </c>
      <c r="I126" s="257">
        <f t="shared" si="27"/>
        <v>42443.834596957997</v>
      </c>
      <c r="J126" s="25">
        <f t="shared" si="28"/>
        <v>1611743.4113214568</v>
      </c>
      <c r="K126" s="257">
        <v>100</v>
      </c>
      <c r="L126" s="257">
        <f t="shared" si="31"/>
        <v>16117.434113214567</v>
      </c>
      <c r="M126" s="629"/>
      <c r="N126" s="192" t="s">
        <v>1160</v>
      </c>
      <c r="O126" s="728">
        <f t="shared" si="29"/>
        <v>41811</v>
      </c>
      <c r="P126" s="301">
        <v>100</v>
      </c>
      <c r="Q126" s="258">
        <v>14784</v>
      </c>
      <c r="R126" s="8">
        <f t="shared" si="32"/>
        <v>1478400</v>
      </c>
      <c r="S126" s="443"/>
      <c r="T126" s="730"/>
      <c r="U126" s="754"/>
      <c r="V126" s="754"/>
      <c r="W126" s="8">
        <f t="shared" si="33"/>
        <v>0</v>
      </c>
    </row>
    <row r="127" spans="1:23">
      <c r="A127" s="751">
        <f t="shared" si="25"/>
        <v>68</v>
      </c>
      <c r="B127" s="296" t="s">
        <v>564</v>
      </c>
      <c r="C127" s="728">
        <v>41815</v>
      </c>
      <c r="D127" s="729" t="s">
        <v>565</v>
      </c>
      <c r="E127" s="773">
        <f t="shared" si="30"/>
        <v>5789241</v>
      </c>
      <c r="F127" s="257">
        <f t="shared" si="27"/>
        <v>194769.05902600122</v>
      </c>
      <c r="G127" s="257">
        <f t="shared" si="27"/>
        <v>36676.473324340674</v>
      </c>
      <c r="H127" s="257">
        <f t="shared" si="27"/>
        <v>260321.1777291967</v>
      </c>
      <c r="I127" s="257">
        <f t="shared" si="27"/>
        <v>229621.14516954278</v>
      </c>
      <c r="J127" s="25">
        <f t="shared" si="28"/>
        <v>6510628.8552490817</v>
      </c>
      <c r="K127" s="257">
        <v>541</v>
      </c>
      <c r="L127" s="257">
        <f t="shared" si="31"/>
        <v>12034.434113214569</v>
      </c>
      <c r="M127" s="629"/>
      <c r="N127" s="189" t="s">
        <v>1146</v>
      </c>
      <c r="O127" s="728">
        <f t="shared" si="29"/>
        <v>41812</v>
      </c>
      <c r="P127" s="301">
        <f>K127</f>
        <v>541</v>
      </c>
      <c r="Q127" s="256">
        <v>10701</v>
      </c>
      <c r="R127" s="8">
        <f t="shared" si="32"/>
        <v>5789241</v>
      </c>
      <c r="S127" s="443"/>
      <c r="T127" s="730"/>
      <c r="U127" s="754"/>
      <c r="V127" s="754"/>
      <c r="W127" s="8">
        <f t="shared" si="33"/>
        <v>0</v>
      </c>
    </row>
    <row r="128" spans="1:23">
      <c r="A128" s="751">
        <f t="shared" si="25"/>
        <v>69</v>
      </c>
      <c r="B128" s="296" t="s">
        <v>418</v>
      </c>
      <c r="C128" s="728">
        <v>41818</v>
      </c>
      <c r="D128" s="729" t="s">
        <v>566</v>
      </c>
      <c r="E128" s="773">
        <f t="shared" si="30"/>
        <v>15028500</v>
      </c>
      <c r="F128" s="257">
        <f t="shared" si="27"/>
        <v>1050168.8450625611</v>
      </c>
      <c r="G128" s="257">
        <f t="shared" si="27"/>
        <v>197754.66300758175</v>
      </c>
      <c r="H128" s="257">
        <f t="shared" si="27"/>
        <v>1403617.1449834877</v>
      </c>
      <c r="I128" s="257">
        <f t="shared" si="27"/>
        <v>1238086.6551932648</v>
      </c>
      <c r="J128" s="25">
        <f t="shared" si="28"/>
        <v>18918127.308246896</v>
      </c>
      <c r="K128" s="257">
        <v>2917</v>
      </c>
      <c r="L128" s="257">
        <f t="shared" si="31"/>
        <v>6485.4738800983532</v>
      </c>
      <c r="M128" s="629"/>
      <c r="N128" s="192" t="s">
        <v>1075</v>
      </c>
      <c r="O128" s="728">
        <f t="shared" si="29"/>
        <v>41815</v>
      </c>
      <c r="P128" s="301">
        <v>750</v>
      </c>
      <c r="Q128" s="258">
        <v>20038</v>
      </c>
      <c r="R128" s="8">
        <f t="shared" si="32"/>
        <v>15028500</v>
      </c>
      <c r="S128" s="443"/>
      <c r="T128" s="730"/>
      <c r="U128" s="754"/>
      <c r="V128" s="754"/>
      <c r="W128" s="8">
        <f t="shared" si="33"/>
        <v>0</v>
      </c>
    </row>
    <row r="129" spans="1:29">
      <c r="A129" s="751">
        <f t="shared" si="25"/>
        <v>70</v>
      </c>
      <c r="B129" s="296" t="s">
        <v>567</v>
      </c>
      <c r="C129" s="728">
        <v>41820</v>
      </c>
      <c r="D129" s="729" t="s">
        <v>568</v>
      </c>
      <c r="E129" s="773">
        <f t="shared" si="30"/>
        <v>4868312</v>
      </c>
      <c r="F129" s="257">
        <f t="shared" si="27"/>
        <v>198009.20973068516</v>
      </c>
      <c r="G129" s="257">
        <f t="shared" si="27"/>
        <v>37286.617982231735</v>
      </c>
      <c r="H129" s="257">
        <f t="shared" si="27"/>
        <v>264651.84427182662</v>
      </c>
      <c r="I129" s="257">
        <f t="shared" si="27"/>
        <v>233441.090283269</v>
      </c>
      <c r="J129" s="25">
        <f t="shared" si="28"/>
        <v>5601700.7622680124</v>
      </c>
      <c r="K129" s="257">
        <v>550</v>
      </c>
      <c r="L129" s="257">
        <f t="shared" si="31"/>
        <v>10184.910476850931</v>
      </c>
      <c r="M129" s="629"/>
      <c r="N129" s="192" t="s">
        <v>1073</v>
      </c>
      <c r="O129" s="728">
        <f t="shared" si="29"/>
        <v>41817</v>
      </c>
      <c r="P129" s="301">
        <v>296</v>
      </c>
      <c r="Q129" s="258">
        <v>16447</v>
      </c>
      <c r="R129" s="8">
        <f t="shared" si="32"/>
        <v>4868312</v>
      </c>
      <c r="S129" s="443"/>
      <c r="T129" s="730"/>
      <c r="U129" s="754"/>
      <c r="V129" s="754"/>
      <c r="W129" s="8">
        <f t="shared" si="33"/>
        <v>0</v>
      </c>
    </row>
    <row r="130" spans="1:29">
      <c r="A130" s="751">
        <f t="shared" si="25"/>
        <v>71</v>
      </c>
      <c r="B130" s="296" t="s">
        <v>437</v>
      </c>
      <c r="C130" s="728">
        <v>41820</v>
      </c>
      <c r="D130" s="729" t="s">
        <v>568</v>
      </c>
      <c r="E130" s="773">
        <f t="shared" si="30"/>
        <v>4065500</v>
      </c>
      <c r="F130" s="257">
        <f t="shared" si="27"/>
        <v>180008.37248244105</v>
      </c>
      <c r="G130" s="257">
        <f t="shared" si="27"/>
        <v>33896.925438392485</v>
      </c>
      <c r="H130" s="257">
        <f t="shared" si="27"/>
        <v>240592.58570166054</v>
      </c>
      <c r="I130" s="257">
        <f t="shared" si="27"/>
        <v>212219.17298479</v>
      </c>
      <c r="J130" s="25">
        <f t="shared" si="28"/>
        <v>4732217.0566072846</v>
      </c>
      <c r="K130" s="257">
        <v>500</v>
      </c>
      <c r="L130" s="257">
        <f t="shared" si="31"/>
        <v>9464.4341132145692</v>
      </c>
      <c r="M130" s="629"/>
      <c r="N130" s="40" t="s">
        <v>1172</v>
      </c>
      <c r="O130" s="728">
        <f t="shared" si="29"/>
        <v>41817</v>
      </c>
      <c r="P130" s="301">
        <v>250</v>
      </c>
      <c r="Q130" s="258">
        <v>16262</v>
      </c>
      <c r="R130" s="8">
        <f t="shared" si="32"/>
        <v>4065500</v>
      </c>
      <c r="S130" s="443"/>
      <c r="T130" s="730"/>
      <c r="U130" s="754"/>
      <c r="V130" s="754"/>
      <c r="W130" s="8">
        <f t="shared" si="33"/>
        <v>0</v>
      </c>
    </row>
    <row r="131" spans="1:29">
      <c r="A131" s="751">
        <f t="shared" si="25"/>
        <v>72</v>
      </c>
      <c r="B131" s="296" t="s">
        <v>569</v>
      </c>
      <c r="C131" s="728">
        <v>41820</v>
      </c>
      <c r="D131" s="729" t="s">
        <v>570</v>
      </c>
      <c r="E131" s="773">
        <f t="shared" si="30"/>
        <v>1727900</v>
      </c>
      <c r="F131" s="257">
        <f t="shared" si="27"/>
        <v>73083.399227871065</v>
      </c>
      <c r="G131" s="257">
        <f t="shared" si="27"/>
        <v>13762.15172798735</v>
      </c>
      <c r="H131" s="257">
        <f t="shared" si="27"/>
        <v>97680.589794874177</v>
      </c>
      <c r="I131" s="257">
        <f t="shared" si="27"/>
        <v>86160.984231824739</v>
      </c>
      <c r="J131" s="25">
        <f t="shared" si="28"/>
        <v>1998587.1249825575</v>
      </c>
      <c r="K131" s="257">
        <v>203</v>
      </c>
      <c r="L131" s="257">
        <f t="shared" si="31"/>
        <v>9845.2567733130909</v>
      </c>
      <c r="M131" s="629"/>
      <c r="N131" s="189" t="s">
        <v>1103</v>
      </c>
      <c r="O131" s="728">
        <f t="shared" si="29"/>
        <v>41817</v>
      </c>
      <c r="P131" s="301">
        <v>100</v>
      </c>
      <c r="Q131" s="258">
        <v>17279</v>
      </c>
      <c r="R131" s="8">
        <f t="shared" si="32"/>
        <v>1727900</v>
      </c>
      <c r="S131" s="443"/>
      <c r="T131" s="730"/>
      <c r="U131" s="754"/>
      <c r="V131" s="754"/>
      <c r="W131" s="8">
        <f t="shared" si="33"/>
        <v>0</v>
      </c>
    </row>
    <row r="132" spans="1:29">
      <c r="A132" s="751">
        <f t="shared" si="25"/>
        <v>73</v>
      </c>
      <c r="B132" s="296" t="s">
        <v>488</v>
      </c>
      <c r="C132" s="728">
        <v>41820</v>
      </c>
      <c r="D132" s="729" t="s">
        <v>570</v>
      </c>
      <c r="E132" s="773">
        <f t="shared" si="30"/>
        <v>887040</v>
      </c>
      <c r="F132" s="257">
        <f t="shared" si="27"/>
        <v>73803.432717800824</v>
      </c>
      <c r="G132" s="257">
        <f t="shared" si="27"/>
        <v>13897.739429740919</v>
      </c>
      <c r="H132" s="257">
        <f t="shared" si="27"/>
        <v>98642.960137680828</v>
      </c>
      <c r="I132" s="257">
        <f t="shared" si="27"/>
        <v>87009.860923763903</v>
      </c>
      <c r="J132" s="25">
        <f t="shared" si="28"/>
        <v>1160393.9932089865</v>
      </c>
      <c r="K132" s="257">
        <v>205</v>
      </c>
      <c r="L132" s="257">
        <f t="shared" si="31"/>
        <v>5660.4585034584707</v>
      </c>
      <c r="M132" s="629"/>
      <c r="N132" s="189" t="s">
        <v>1101</v>
      </c>
      <c r="O132" s="728">
        <f t="shared" si="29"/>
        <v>41817</v>
      </c>
      <c r="P132" s="301">
        <v>40</v>
      </c>
      <c r="Q132" s="258">
        <v>22176</v>
      </c>
      <c r="R132" s="8">
        <f t="shared" si="32"/>
        <v>887040</v>
      </c>
      <c r="S132" s="443"/>
      <c r="T132" s="730"/>
      <c r="U132" s="754"/>
      <c r="V132" s="754"/>
      <c r="W132" s="8">
        <f t="shared" si="33"/>
        <v>0</v>
      </c>
    </row>
    <row r="133" spans="1:29" s="733" customFormat="1">
      <c r="A133" s="831"/>
      <c r="B133" s="741"/>
      <c r="C133" s="728"/>
      <c r="D133" s="729"/>
      <c r="E133" s="742"/>
      <c r="F133" s="743"/>
      <c r="G133" s="744"/>
      <c r="H133" s="744"/>
      <c r="I133" s="744"/>
      <c r="J133" s="743"/>
      <c r="K133" s="745"/>
      <c r="L133" s="744"/>
      <c r="M133" s="629"/>
      <c r="N133" s="443"/>
      <c r="O133" s="730"/>
      <c r="P133" s="776"/>
      <c r="Q133" s="756"/>
      <c r="R133" s="25"/>
      <c r="S133" s="443"/>
      <c r="T133" s="730"/>
      <c r="U133" s="756"/>
      <c r="V133" s="756"/>
      <c r="W133" s="746"/>
    </row>
    <row r="134" spans="1:29" s="710" customFormat="1">
      <c r="A134" s="715"/>
      <c r="B134" s="716" t="s">
        <v>251</v>
      </c>
      <c r="C134" s="828"/>
      <c r="D134" s="736"/>
      <c r="E134" s="516">
        <f>SUM(E60:E133)</f>
        <v>276136210</v>
      </c>
      <c r="F134" s="516">
        <v>15480000</v>
      </c>
      <c r="G134" s="516">
        <f>W134</f>
        <v>2915000</v>
      </c>
      <c r="H134" s="516">
        <v>20690000</v>
      </c>
      <c r="I134" s="516">
        <v>18250000</v>
      </c>
      <c r="J134" s="516">
        <f>ROUND(SUM(J60:J133),0)</f>
        <v>333471210</v>
      </c>
      <c r="K134" s="516">
        <f>ROUND(SUM(K60:K133),0)</f>
        <v>42998</v>
      </c>
      <c r="L134" s="516"/>
      <c r="M134" s="724"/>
      <c r="N134" s="734"/>
      <c r="O134" s="735"/>
      <c r="P134" s="772"/>
      <c r="Q134" s="27"/>
      <c r="R134" s="47">
        <f>SUM(R60:R133)</f>
        <v>276136210</v>
      </c>
      <c r="S134" s="734"/>
      <c r="T134" s="735"/>
      <c r="U134" s="747"/>
      <c r="V134" s="27"/>
      <c r="W134" s="47">
        <f>SUM(W60:W133)</f>
        <v>2915000</v>
      </c>
    </row>
    <row r="135" spans="1:29" s="710" customFormat="1">
      <c r="A135" s="717"/>
      <c r="B135" s="718"/>
      <c r="C135" s="829"/>
      <c r="D135" s="738"/>
      <c r="E135" s="711"/>
      <c r="F135" s="711"/>
      <c r="G135" s="711"/>
      <c r="H135" s="711"/>
      <c r="I135" s="711"/>
      <c r="J135" s="711"/>
      <c r="K135" s="711"/>
      <c r="L135" s="711"/>
      <c r="M135" s="724"/>
      <c r="N135" s="444"/>
      <c r="O135" s="737"/>
      <c r="P135" s="770"/>
      <c r="Q135" s="727"/>
      <c r="R135" s="739"/>
      <c r="S135" s="444"/>
      <c r="T135" s="737"/>
      <c r="U135" s="727"/>
      <c r="V135" s="727"/>
      <c r="W135" s="748"/>
    </row>
    <row r="136" spans="1:29" s="710" customFormat="1">
      <c r="A136"/>
      <c r="B136"/>
      <c r="C136"/>
      <c r="D136"/>
      <c r="E136"/>
      <c r="F136"/>
      <c r="G136"/>
      <c r="H136"/>
      <c r="I136"/>
      <c r="J136" s="940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709" customWidth="1"/>
    <col min="2" max="2" width="29.28515625" style="709" customWidth="1"/>
    <col min="3" max="3" width="8.85546875" style="723" customWidth="1"/>
    <col min="4" max="4" width="8.85546875" style="824" customWidth="1"/>
    <col min="5" max="7" width="6.5703125" style="709" customWidth="1"/>
    <col min="8" max="8" width="9" style="709" customWidth="1"/>
    <col min="9" max="10" width="8.42578125" style="709" customWidth="1"/>
    <col min="11" max="11" width="7.42578125" style="709" customWidth="1"/>
    <col min="12" max="12" width="2" style="721" customWidth="1"/>
    <col min="13" max="13" width="28.42578125" style="709" customWidth="1"/>
    <col min="14" max="14" width="10.140625" style="722" customWidth="1"/>
    <col min="15" max="15" width="7" style="764" customWidth="1"/>
    <col min="16" max="16" width="7.5703125" style="293" customWidth="1"/>
    <col min="17" max="17" width="12.42578125" style="709" customWidth="1"/>
    <col min="18" max="16384" width="10.28515625" style="709"/>
  </cols>
  <sheetData>
    <row r="1" spans="1:17" ht="18" customHeight="1">
      <c r="A1" s="552" t="str">
        <f>TH!$A$1</f>
        <v>Đơn vị: CÔNG TY TNHH SX TM KIM DUNG PHÁT</v>
      </c>
      <c r="B1" s="710"/>
      <c r="E1" s="293"/>
      <c r="F1" s="293"/>
      <c r="G1" s="293"/>
      <c r="H1" s="293"/>
      <c r="I1" s="566"/>
      <c r="J1" s="566"/>
      <c r="K1" s="293"/>
      <c r="L1" s="724"/>
      <c r="M1" s="444"/>
      <c r="N1" s="737"/>
      <c r="O1" s="770"/>
      <c r="P1" s="727"/>
      <c r="Q1" s="739"/>
    </row>
    <row r="2" spans="1:17" ht="18.75" customHeight="1">
      <c r="A2" s="711" t="s">
        <v>1265</v>
      </c>
      <c r="B2" s="711"/>
      <c r="E2" s="711"/>
      <c r="F2" s="711"/>
      <c r="G2" s="711"/>
      <c r="H2" s="711"/>
      <c r="I2" s="711"/>
      <c r="J2" s="711"/>
      <c r="K2" s="711"/>
      <c r="L2" s="724"/>
      <c r="M2" s="444"/>
      <c r="N2" s="737"/>
      <c r="O2" s="770"/>
      <c r="P2" s="727"/>
      <c r="Q2" s="739"/>
    </row>
    <row r="3" spans="1:17" ht="13.5" customHeight="1">
      <c r="A3" s="711"/>
      <c r="B3" s="712"/>
      <c r="E3" s="712"/>
      <c r="F3" s="712"/>
      <c r="G3" s="712"/>
      <c r="H3" s="712"/>
      <c r="I3" s="725"/>
      <c r="J3" s="725"/>
      <c r="K3" s="712"/>
      <c r="L3" s="724"/>
      <c r="M3" s="444"/>
      <c r="N3" s="737"/>
      <c r="O3" s="770"/>
      <c r="P3" s="727"/>
      <c r="Q3" s="739"/>
    </row>
    <row r="4" spans="1:17" s="441" customFormat="1" ht="21" customHeight="1">
      <c r="A4" s="1126" t="s">
        <v>35</v>
      </c>
      <c r="B4" s="1126" t="s">
        <v>242</v>
      </c>
      <c r="C4" s="1126" t="s">
        <v>1246</v>
      </c>
      <c r="D4" s="1126" t="s">
        <v>1247</v>
      </c>
      <c r="E4" s="1132" t="s">
        <v>1248</v>
      </c>
      <c r="F4" s="1133"/>
      <c r="G4" s="1133"/>
      <c r="H4" s="1134"/>
      <c r="I4" s="1126" t="s">
        <v>243</v>
      </c>
      <c r="J4" s="1130" t="s">
        <v>1249</v>
      </c>
      <c r="K4" s="1126" t="s">
        <v>1250</v>
      </c>
      <c r="L4" s="440"/>
      <c r="M4" s="1126" t="s">
        <v>242</v>
      </c>
      <c r="N4" s="1126" t="s">
        <v>1251</v>
      </c>
      <c r="O4" s="1126" t="s">
        <v>201</v>
      </c>
      <c r="P4" s="1126" t="s">
        <v>244</v>
      </c>
      <c r="Q4" s="1126" t="s">
        <v>250</v>
      </c>
    </row>
    <row r="5" spans="1:17" s="441" customFormat="1" ht="26.25" customHeight="1">
      <c r="A5" s="1126"/>
      <c r="B5" s="1126"/>
      <c r="C5" s="1126"/>
      <c r="D5" s="1126"/>
      <c r="E5" s="766" t="s">
        <v>1252</v>
      </c>
      <c r="F5" s="766" t="s">
        <v>1253</v>
      </c>
      <c r="G5" s="766" t="s">
        <v>1254</v>
      </c>
      <c r="H5" s="437" t="s">
        <v>1255</v>
      </c>
      <c r="I5" s="1126"/>
      <c r="J5" s="1131"/>
      <c r="K5" s="1126"/>
      <c r="L5" s="440"/>
      <c r="M5" s="1126"/>
      <c r="N5" s="1126"/>
      <c r="O5" s="1126"/>
      <c r="P5" s="1126"/>
      <c r="Q5" s="1126"/>
    </row>
    <row r="6" spans="1:17" ht="16.5" customHeight="1">
      <c r="A6" s="713">
        <v>1</v>
      </c>
      <c r="B6" s="296" t="s">
        <v>516</v>
      </c>
      <c r="C6" s="728">
        <v>41831</v>
      </c>
      <c r="D6" s="728" t="s">
        <v>571</v>
      </c>
      <c r="E6" s="910">
        <v>59</v>
      </c>
      <c r="F6" s="911">
        <v>38</v>
      </c>
      <c r="G6" s="911">
        <v>17</v>
      </c>
      <c r="H6" s="832">
        <f>IF(G6&lt;&gt;"",ROUND(((E6+F6)*2+5)*(F6+G6+3)/10000,2),ROUND(E6*F6/10000,2))</f>
        <v>1.1499999999999999</v>
      </c>
      <c r="I6" s="714">
        <v>570</v>
      </c>
      <c r="J6" s="714">
        <f t="shared" ref="J6:J69" si="0">H6*I6</f>
        <v>655.5</v>
      </c>
      <c r="K6" s="714">
        <f t="shared" ref="K6:K37" si="1">H6*$Q$35</f>
        <v>9387.4086014726599</v>
      </c>
      <c r="L6" s="629"/>
      <c r="M6" s="189" t="s">
        <v>1150</v>
      </c>
      <c r="N6" s="184">
        <v>41821</v>
      </c>
      <c r="O6" s="256">
        <v>4801</v>
      </c>
      <c r="P6" s="256">
        <v>9500</v>
      </c>
      <c r="Q6" s="8">
        <f t="shared" ref="Q6:Q13" si="2">ROUND(O6*P6,0)</f>
        <v>45609500</v>
      </c>
    </row>
    <row r="7" spans="1:17" ht="16.5" customHeight="1">
      <c r="A7" s="713">
        <f t="shared" ref="A7:A70" si="3">IF(B7&lt;&gt;"",A6+1,"")</f>
        <v>2</v>
      </c>
      <c r="B7" s="296" t="s">
        <v>516</v>
      </c>
      <c r="C7" s="728">
        <v>41831</v>
      </c>
      <c r="D7" s="728" t="s">
        <v>571</v>
      </c>
      <c r="E7" s="910">
        <v>59</v>
      </c>
      <c r="F7" s="911">
        <v>38</v>
      </c>
      <c r="G7" s="911">
        <v>17</v>
      </c>
      <c r="H7" s="832">
        <f t="shared" ref="H7:H70" si="4">IF(G7&lt;&gt;"",ROUND(((E7+F7)*2+5)*(F7+G7+3)/10000,2),ROUND(E7*F7/10000,2))</f>
        <v>1.1499999999999999</v>
      </c>
      <c r="I7" s="714">
        <v>564</v>
      </c>
      <c r="J7" s="714">
        <f t="shared" si="0"/>
        <v>648.59999999999991</v>
      </c>
      <c r="K7" s="714">
        <f t="shared" si="1"/>
        <v>9387.4086014726599</v>
      </c>
      <c r="L7" s="629"/>
      <c r="M7" s="296" t="s">
        <v>1080</v>
      </c>
      <c r="N7" s="37">
        <v>41835</v>
      </c>
      <c r="O7" s="256">
        <v>10230</v>
      </c>
      <c r="P7" s="256">
        <v>8500</v>
      </c>
      <c r="Q7" s="8">
        <f t="shared" si="2"/>
        <v>86955000</v>
      </c>
    </row>
    <row r="8" spans="1:17" ht="16.5" customHeight="1">
      <c r="A8" s="713">
        <f t="shared" si="3"/>
        <v>3</v>
      </c>
      <c r="B8" s="296" t="s">
        <v>572</v>
      </c>
      <c r="C8" s="728">
        <v>41832</v>
      </c>
      <c r="D8" s="728" t="s">
        <v>573</v>
      </c>
      <c r="E8" s="910">
        <v>47</v>
      </c>
      <c r="F8" s="911">
        <v>24</v>
      </c>
      <c r="G8" s="911">
        <v>25</v>
      </c>
      <c r="H8" s="832">
        <f t="shared" si="4"/>
        <v>0.76</v>
      </c>
      <c r="I8" s="714">
        <v>393</v>
      </c>
      <c r="J8" s="714">
        <f t="shared" si="0"/>
        <v>298.68</v>
      </c>
      <c r="K8" s="714">
        <f t="shared" si="1"/>
        <v>6203.8526409732367</v>
      </c>
      <c r="L8" s="629"/>
      <c r="M8" s="192" t="s">
        <v>1080</v>
      </c>
      <c r="N8" s="37">
        <v>41848</v>
      </c>
      <c r="O8" s="256">
        <v>7379</v>
      </c>
      <c r="P8" s="256">
        <v>7500</v>
      </c>
      <c r="Q8" s="8">
        <f t="shared" si="2"/>
        <v>55342500</v>
      </c>
    </row>
    <row r="9" spans="1:17" ht="16.5" customHeight="1">
      <c r="A9" s="713">
        <f t="shared" si="3"/>
        <v>4</v>
      </c>
      <c r="B9" s="296" t="s">
        <v>574</v>
      </c>
      <c r="C9" s="728">
        <v>41832</v>
      </c>
      <c r="D9" s="728" t="s">
        <v>573</v>
      </c>
      <c r="E9" s="910">
        <v>51</v>
      </c>
      <c r="F9" s="911">
        <v>38</v>
      </c>
      <c r="G9" s="911">
        <v>25</v>
      </c>
      <c r="H9" s="832">
        <f t="shared" si="4"/>
        <v>1.21</v>
      </c>
      <c r="I9" s="714">
        <v>480</v>
      </c>
      <c r="J9" s="714">
        <f t="shared" si="0"/>
        <v>580.79999999999995</v>
      </c>
      <c r="K9" s="714">
        <f t="shared" si="1"/>
        <v>9877.1864415494947</v>
      </c>
      <c r="L9" s="629"/>
      <c r="M9" s="192" t="s">
        <v>1080</v>
      </c>
      <c r="N9" s="37">
        <v>41852</v>
      </c>
      <c r="O9" s="256">
        <v>5973</v>
      </c>
      <c r="P9" s="256">
        <v>7200</v>
      </c>
      <c r="Q9" s="8">
        <f t="shared" si="2"/>
        <v>43005600</v>
      </c>
    </row>
    <row r="10" spans="1:17" ht="16.5" customHeight="1">
      <c r="A10" s="713">
        <f t="shared" si="3"/>
        <v>5</v>
      </c>
      <c r="B10" s="296" t="s">
        <v>575</v>
      </c>
      <c r="C10" s="728">
        <v>41832</v>
      </c>
      <c r="D10" s="728" t="s">
        <v>573</v>
      </c>
      <c r="E10" s="910">
        <v>45</v>
      </c>
      <c r="F10" s="911">
        <v>42</v>
      </c>
      <c r="G10" s="911">
        <v>22</v>
      </c>
      <c r="H10" s="832">
        <f t="shared" si="4"/>
        <v>1.2</v>
      </c>
      <c r="I10" s="714">
        <v>219</v>
      </c>
      <c r="J10" s="714">
        <f t="shared" si="0"/>
        <v>262.8</v>
      </c>
      <c r="K10" s="714">
        <f t="shared" si="1"/>
        <v>9795.5568015366898</v>
      </c>
      <c r="L10" s="629"/>
      <c r="M10" s="192" t="s">
        <v>1080</v>
      </c>
      <c r="N10" s="184">
        <v>41866</v>
      </c>
      <c r="O10" s="256">
        <v>9665</v>
      </c>
      <c r="P10" s="256">
        <v>8500</v>
      </c>
      <c r="Q10" s="8">
        <f t="shared" si="2"/>
        <v>82152500</v>
      </c>
    </row>
    <row r="11" spans="1:17" ht="16.5" customHeight="1">
      <c r="A11" s="713">
        <f t="shared" si="3"/>
        <v>6</v>
      </c>
      <c r="B11" s="296" t="s">
        <v>576</v>
      </c>
      <c r="C11" s="728">
        <v>41834</v>
      </c>
      <c r="D11" s="728" t="s">
        <v>577</v>
      </c>
      <c r="E11" s="910">
        <v>34</v>
      </c>
      <c r="F11" s="911">
        <v>34</v>
      </c>
      <c r="G11" s="911">
        <v>40</v>
      </c>
      <c r="H11" s="832">
        <f t="shared" si="4"/>
        <v>1.0900000000000001</v>
      </c>
      <c r="I11" s="714">
        <v>300</v>
      </c>
      <c r="J11" s="714">
        <f t="shared" si="0"/>
        <v>327</v>
      </c>
      <c r="K11" s="714">
        <f t="shared" si="1"/>
        <v>8897.630761395827</v>
      </c>
      <c r="L11" s="629"/>
      <c r="M11" s="192" t="s">
        <v>1084</v>
      </c>
      <c r="N11" s="184">
        <v>41883</v>
      </c>
      <c r="O11" s="256">
        <v>10578</v>
      </c>
      <c r="P11" s="256">
        <v>9500</v>
      </c>
      <c r="Q11" s="8">
        <f t="shared" si="2"/>
        <v>100491000</v>
      </c>
    </row>
    <row r="12" spans="1:17" ht="16.5" customHeight="1">
      <c r="A12" s="713">
        <f t="shared" si="3"/>
        <v>7</v>
      </c>
      <c r="B12" s="296" t="s">
        <v>578</v>
      </c>
      <c r="C12" s="728">
        <v>41834</v>
      </c>
      <c r="D12" s="728" t="s">
        <v>577</v>
      </c>
      <c r="E12" s="910">
        <v>34</v>
      </c>
      <c r="F12" s="911">
        <v>34</v>
      </c>
      <c r="G12" s="911">
        <v>43</v>
      </c>
      <c r="H12" s="832">
        <f t="shared" si="4"/>
        <v>1.1299999999999999</v>
      </c>
      <c r="I12" s="714">
        <v>720</v>
      </c>
      <c r="J12" s="714">
        <f t="shared" si="0"/>
        <v>813.59999999999991</v>
      </c>
      <c r="K12" s="714">
        <f t="shared" si="1"/>
        <v>9224.1493214470484</v>
      </c>
      <c r="L12" s="629"/>
      <c r="M12" s="192" t="s">
        <v>1080</v>
      </c>
      <c r="N12" s="184">
        <v>41892</v>
      </c>
      <c r="O12" s="256">
        <v>7247</v>
      </c>
      <c r="P12" s="256">
        <v>8500</v>
      </c>
      <c r="Q12" s="8">
        <f t="shared" si="2"/>
        <v>61599500</v>
      </c>
    </row>
    <row r="13" spans="1:17" ht="16.5" customHeight="1">
      <c r="A13" s="713">
        <f t="shared" si="3"/>
        <v>8</v>
      </c>
      <c r="B13" s="296" t="s">
        <v>437</v>
      </c>
      <c r="C13" s="728">
        <v>41834</v>
      </c>
      <c r="D13" s="728" t="s">
        <v>579</v>
      </c>
      <c r="E13" s="910">
        <v>49</v>
      </c>
      <c r="F13" s="911">
        <v>38</v>
      </c>
      <c r="G13" s="911">
        <v>12</v>
      </c>
      <c r="H13" s="832">
        <f t="shared" si="4"/>
        <v>0.95</v>
      </c>
      <c r="I13" s="714">
        <v>522</v>
      </c>
      <c r="J13" s="714">
        <f t="shared" si="0"/>
        <v>495.9</v>
      </c>
      <c r="K13" s="714">
        <f t="shared" si="1"/>
        <v>7754.8158012165459</v>
      </c>
      <c r="L13" s="629"/>
      <c r="M13" s="296"/>
      <c r="N13" s="730"/>
      <c r="O13" s="256"/>
      <c r="P13" s="256"/>
      <c r="Q13" s="8">
        <f t="shared" si="2"/>
        <v>0</v>
      </c>
    </row>
    <row r="14" spans="1:17" ht="16.5" customHeight="1">
      <c r="A14" s="713">
        <f t="shared" si="3"/>
        <v>9</v>
      </c>
      <c r="B14" s="296" t="s">
        <v>575</v>
      </c>
      <c r="C14" s="728">
        <v>41834</v>
      </c>
      <c r="D14" s="728" t="s">
        <v>579</v>
      </c>
      <c r="E14" s="910">
        <v>45</v>
      </c>
      <c r="F14" s="911">
        <v>42</v>
      </c>
      <c r="G14" s="911">
        <v>22</v>
      </c>
      <c r="H14" s="832">
        <f t="shared" si="4"/>
        <v>1.2</v>
      </c>
      <c r="I14" s="714">
        <v>525</v>
      </c>
      <c r="J14" s="714">
        <f t="shared" si="0"/>
        <v>630</v>
      </c>
      <c r="K14" s="714">
        <f t="shared" si="1"/>
        <v>9795.5568015366898</v>
      </c>
      <c r="L14" s="629"/>
      <c r="M14" s="443"/>
      <c r="N14" s="728"/>
      <c r="O14" s="767"/>
      <c r="P14" s="754"/>
      <c r="Q14" s="8"/>
    </row>
    <row r="15" spans="1:17" ht="16.5" customHeight="1">
      <c r="A15" s="713">
        <f t="shared" si="3"/>
        <v>10</v>
      </c>
      <c r="B15" s="296" t="s">
        <v>509</v>
      </c>
      <c r="C15" s="728">
        <v>41834</v>
      </c>
      <c r="D15" s="728" t="s">
        <v>580</v>
      </c>
      <c r="E15" s="910">
        <v>39.5</v>
      </c>
      <c r="F15" s="911">
        <v>32.299999999999997</v>
      </c>
      <c r="G15" s="911">
        <v>27.7</v>
      </c>
      <c r="H15" s="832">
        <f t="shared" si="4"/>
        <v>0.94</v>
      </c>
      <c r="I15" s="714">
        <v>214</v>
      </c>
      <c r="J15" s="714">
        <f t="shared" si="0"/>
        <v>201.16</v>
      </c>
      <c r="K15" s="714">
        <f t="shared" si="1"/>
        <v>7673.1861612037401</v>
      </c>
      <c r="L15" s="629"/>
      <c r="M15" s="833" t="s">
        <v>1256</v>
      </c>
      <c r="N15" s="834"/>
      <c r="O15" s="835"/>
      <c r="P15" s="516"/>
      <c r="Q15" s="516">
        <f>SUM(Q6:Q14)</f>
        <v>475155600</v>
      </c>
    </row>
    <row r="16" spans="1:17" ht="16.5" customHeight="1">
      <c r="A16" s="713">
        <f t="shared" si="3"/>
        <v>11</v>
      </c>
      <c r="B16" s="296" t="s">
        <v>487</v>
      </c>
      <c r="C16" s="728">
        <v>41834</v>
      </c>
      <c r="D16" s="728" t="s">
        <v>580</v>
      </c>
      <c r="E16" s="910">
        <v>41</v>
      </c>
      <c r="F16" s="911">
        <v>31</v>
      </c>
      <c r="G16" s="911">
        <v>25.5</v>
      </c>
      <c r="H16" s="832">
        <f t="shared" si="4"/>
        <v>0.89</v>
      </c>
      <c r="I16" s="714">
        <v>133</v>
      </c>
      <c r="J16" s="714">
        <f t="shared" si="0"/>
        <v>118.37</v>
      </c>
      <c r="K16" s="714">
        <f t="shared" si="1"/>
        <v>7265.037961139712</v>
      </c>
      <c r="L16" s="629"/>
      <c r="M16" s="189" t="s">
        <v>330</v>
      </c>
      <c r="N16" s="37">
        <v>41821</v>
      </c>
      <c r="O16" s="754">
        <v>24</v>
      </c>
      <c r="P16" s="754">
        <v>45000</v>
      </c>
      <c r="Q16" s="8">
        <f t="shared" ref="Q16:Q23" si="5">ROUND(O16*P16,0)</f>
        <v>1080000</v>
      </c>
    </row>
    <row r="17" spans="1:17" ht="16.5" customHeight="1">
      <c r="A17" s="713">
        <f t="shared" si="3"/>
        <v>12</v>
      </c>
      <c r="B17" s="296" t="s">
        <v>581</v>
      </c>
      <c r="C17" s="728">
        <v>41837</v>
      </c>
      <c r="D17" s="728" t="s">
        <v>582</v>
      </c>
      <c r="E17" s="910">
        <v>46.5</v>
      </c>
      <c r="F17" s="911">
        <v>41.5</v>
      </c>
      <c r="G17" s="911">
        <v>31</v>
      </c>
      <c r="H17" s="832">
        <f t="shared" si="4"/>
        <v>1.37</v>
      </c>
      <c r="I17" s="714">
        <v>115</v>
      </c>
      <c r="J17" s="714">
        <f t="shared" si="0"/>
        <v>157.55000000000001</v>
      </c>
      <c r="K17" s="714">
        <f t="shared" si="1"/>
        <v>11183.260681754389</v>
      </c>
      <c r="L17" s="629"/>
      <c r="M17" s="189" t="s">
        <v>1021</v>
      </c>
      <c r="N17" s="37">
        <v>41842</v>
      </c>
      <c r="O17" s="754">
        <v>1500</v>
      </c>
      <c r="P17" s="754">
        <v>11000</v>
      </c>
      <c r="Q17" s="8">
        <f t="shared" si="5"/>
        <v>16500000</v>
      </c>
    </row>
    <row r="18" spans="1:17" ht="16.5" customHeight="1">
      <c r="A18" s="713">
        <f t="shared" si="3"/>
        <v>13</v>
      </c>
      <c r="B18" s="296" t="s">
        <v>584</v>
      </c>
      <c r="C18" s="728">
        <v>41837</v>
      </c>
      <c r="D18" s="728" t="s">
        <v>582</v>
      </c>
      <c r="E18" s="910">
        <v>62</v>
      </c>
      <c r="F18" s="911">
        <v>42</v>
      </c>
      <c r="G18" s="911">
        <v>36</v>
      </c>
      <c r="H18" s="832">
        <f t="shared" si="4"/>
        <v>1.73</v>
      </c>
      <c r="I18" s="714">
        <v>15</v>
      </c>
      <c r="J18" s="714">
        <f t="shared" si="0"/>
        <v>25.95</v>
      </c>
      <c r="K18" s="714">
        <f t="shared" si="1"/>
        <v>14121.927722215394</v>
      </c>
      <c r="L18" s="629"/>
      <c r="M18" s="189" t="s">
        <v>1026</v>
      </c>
      <c r="N18" s="37">
        <v>41851</v>
      </c>
      <c r="O18" s="754">
        <v>25</v>
      </c>
      <c r="P18" s="754">
        <v>20000</v>
      </c>
      <c r="Q18" s="8">
        <f t="shared" si="5"/>
        <v>500000</v>
      </c>
    </row>
    <row r="19" spans="1:17" ht="16.5" customHeight="1">
      <c r="A19" s="713">
        <f t="shared" si="3"/>
        <v>14</v>
      </c>
      <c r="B19" s="296" t="s">
        <v>585</v>
      </c>
      <c r="C19" s="728">
        <v>41837</v>
      </c>
      <c r="D19" s="728" t="s">
        <v>582</v>
      </c>
      <c r="E19" s="910">
        <v>39.5</v>
      </c>
      <c r="F19" s="911">
        <v>39.5</v>
      </c>
      <c r="G19" s="911">
        <v>25</v>
      </c>
      <c r="H19" s="832">
        <f t="shared" si="4"/>
        <v>1.1000000000000001</v>
      </c>
      <c r="I19" s="714">
        <v>40</v>
      </c>
      <c r="J19" s="714">
        <f t="shared" si="0"/>
        <v>44</v>
      </c>
      <c r="K19" s="714">
        <f t="shared" si="1"/>
        <v>8979.2604014086337</v>
      </c>
      <c r="L19" s="629"/>
      <c r="M19" s="189" t="s">
        <v>1027</v>
      </c>
      <c r="N19" s="37">
        <v>41851</v>
      </c>
      <c r="O19" s="754">
        <v>100</v>
      </c>
      <c r="P19" s="754">
        <v>20000</v>
      </c>
      <c r="Q19" s="8">
        <f t="shared" si="5"/>
        <v>2000000</v>
      </c>
    </row>
    <row r="20" spans="1:17" ht="16.5" customHeight="1">
      <c r="A20" s="713">
        <f t="shared" si="3"/>
        <v>15</v>
      </c>
      <c r="B20" s="296" t="s">
        <v>586</v>
      </c>
      <c r="C20" s="728">
        <v>41837</v>
      </c>
      <c r="D20" s="728" t="s">
        <v>582</v>
      </c>
      <c r="E20" s="910">
        <v>46.5</v>
      </c>
      <c r="F20" s="911">
        <v>41.5</v>
      </c>
      <c r="G20" s="911">
        <v>31</v>
      </c>
      <c r="H20" s="832">
        <f t="shared" si="4"/>
        <v>1.37</v>
      </c>
      <c r="I20" s="714">
        <v>720</v>
      </c>
      <c r="J20" s="714">
        <f t="shared" si="0"/>
        <v>986.40000000000009</v>
      </c>
      <c r="K20" s="714">
        <f t="shared" si="1"/>
        <v>11183.260681754389</v>
      </c>
      <c r="L20" s="629"/>
      <c r="M20" s="189" t="s">
        <v>1132</v>
      </c>
      <c r="N20" s="37">
        <v>41858</v>
      </c>
      <c r="O20" s="754">
        <v>55</v>
      </c>
      <c r="P20" s="754">
        <v>360000</v>
      </c>
      <c r="Q20" s="8">
        <f t="shared" si="5"/>
        <v>19800000</v>
      </c>
    </row>
    <row r="21" spans="1:17" ht="16.5" customHeight="1">
      <c r="A21" s="713">
        <f t="shared" si="3"/>
        <v>16</v>
      </c>
      <c r="B21" s="296" t="s">
        <v>587</v>
      </c>
      <c r="C21" s="728">
        <v>41837</v>
      </c>
      <c r="D21" s="728" t="s">
        <v>582</v>
      </c>
      <c r="E21" s="910">
        <v>45.5</v>
      </c>
      <c r="F21" s="911">
        <v>41.5</v>
      </c>
      <c r="G21" s="911">
        <v>25</v>
      </c>
      <c r="H21" s="832">
        <f t="shared" si="4"/>
        <v>1.24</v>
      </c>
      <c r="I21" s="714">
        <v>370</v>
      </c>
      <c r="J21" s="714">
        <f t="shared" si="0"/>
        <v>458.8</v>
      </c>
      <c r="K21" s="714">
        <f t="shared" si="1"/>
        <v>10122.075361587913</v>
      </c>
      <c r="L21" s="629"/>
      <c r="M21" s="189" t="s">
        <v>330</v>
      </c>
      <c r="N21" s="37">
        <v>41870</v>
      </c>
      <c r="O21" s="754">
        <v>24</v>
      </c>
      <c r="P21" s="754">
        <v>45000</v>
      </c>
      <c r="Q21" s="8">
        <f t="shared" si="5"/>
        <v>1080000</v>
      </c>
    </row>
    <row r="22" spans="1:17" ht="16.5" customHeight="1">
      <c r="A22" s="713">
        <f t="shared" si="3"/>
        <v>17</v>
      </c>
      <c r="B22" s="296" t="s">
        <v>495</v>
      </c>
      <c r="C22" s="728">
        <v>41837</v>
      </c>
      <c r="D22" s="728" t="s">
        <v>588</v>
      </c>
      <c r="E22" s="910">
        <v>42</v>
      </c>
      <c r="F22" s="911">
        <v>26</v>
      </c>
      <c r="G22" s="911">
        <v>33</v>
      </c>
      <c r="H22" s="832">
        <f t="shared" si="4"/>
        <v>0.87</v>
      </c>
      <c r="I22" s="714">
        <v>500</v>
      </c>
      <c r="J22" s="714">
        <f t="shared" si="0"/>
        <v>435</v>
      </c>
      <c r="K22" s="714">
        <f t="shared" si="1"/>
        <v>7101.7786811141004</v>
      </c>
      <c r="L22" s="629"/>
      <c r="M22" s="189" t="s">
        <v>1132</v>
      </c>
      <c r="N22" s="37">
        <v>41901</v>
      </c>
      <c r="O22" s="754">
        <v>110</v>
      </c>
      <c r="P22" s="754">
        <v>360000</v>
      </c>
      <c r="Q22" s="8">
        <f t="shared" si="5"/>
        <v>39600000</v>
      </c>
    </row>
    <row r="23" spans="1:17" ht="16.5" customHeight="1">
      <c r="A23" s="713">
        <f t="shared" si="3"/>
        <v>18</v>
      </c>
      <c r="B23" s="296" t="s">
        <v>513</v>
      </c>
      <c r="C23" s="728">
        <v>41837</v>
      </c>
      <c r="D23" s="728" t="s">
        <v>588</v>
      </c>
      <c r="E23" s="910">
        <v>32.5</v>
      </c>
      <c r="F23" s="911">
        <v>32.5</v>
      </c>
      <c r="G23" s="911">
        <v>16</v>
      </c>
      <c r="H23" s="832">
        <f t="shared" si="4"/>
        <v>0.7</v>
      </c>
      <c r="I23" s="714">
        <v>410</v>
      </c>
      <c r="J23" s="714">
        <f t="shared" si="0"/>
        <v>287</v>
      </c>
      <c r="K23" s="714">
        <f t="shared" si="1"/>
        <v>5714.0748008964019</v>
      </c>
      <c r="L23" s="629"/>
      <c r="M23" s="189" t="s">
        <v>330</v>
      </c>
      <c r="N23" s="37">
        <v>41902</v>
      </c>
      <c r="O23" s="256">
        <v>24</v>
      </c>
      <c r="P23" s="256">
        <v>45000</v>
      </c>
      <c r="Q23" s="8">
        <f t="shared" si="5"/>
        <v>1080000</v>
      </c>
    </row>
    <row r="24" spans="1:17" ht="16.5" customHeight="1">
      <c r="A24" s="713">
        <f t="shared" si="3"/>
        <v>19</v>
      </c>
      <c r="B24" s="296" t="s">
        <v>484</v>
      </c>
      <c r="C24" s="728">
        <v>41837</v>
      </c>
      <c r="D24" s="728" t="s">
        <v>588</v>
      </c>
      <c r="E24" s="910">
        <v>49.5</v>
      </c>
      <c r="F24" s="911">
        <v>38.5</v>
      </c>
      <c r="G24" s="911">
        <v>32.5</v>
      </c>
      <c r="H24" s="832">
        <f t="shared" si="4"/>
        <v>1.34</v>
      </c>
      <c r="I24" s="714">
        <v>280</v>
      </c>
      <c r="J24" s="714">
        <f t="shared" si="0"/>
        <v>375.20000000000005</v>
      </c>
      <c r="K24" s="714">
        <f t="shared" si="1"/>
        <v>10938.371761715971</v>
      </c>
      <c r="L24" s="629"/>
      <c r="M24" s="443"/>
      <c r="N24" s="728"/>
      <c r="O24" s="767"/>
      <c r="P24" s="754"/>
      <c r="Q24" s="8"/>
    </row>
    <row r="25" spans="1:17" ht="16.5" customHeight="1">
      <c r="A25" s="713">
        <f t="shared" si="3"/>
        <v>20</v>
      </c>
      <c r="B25" s="296" t="s">
        <v>422</v>
      </c>
      <c r="C25" s="728">
        <v>41842</v>
      </c>
      <c r="D25" s="728" t="s">
        <v>589</v>
      </c>
      <c r="E25" s="910">
        <v>56</v>
      </c>
      <c r="F25" s="911">
        <v>48</v>
      </c>
      <c r="G25" s="911">
        <v>17</v>
      </c>
      <c r="H25" s="832">
        <f t="shared" si="4"/>
        <v>1.45</v>
      </c>
      <c r="I25" s="714">
        <v>513</v>
      </c>
      <c r="J25" s="714">
        <f t="shared" si="0"/>
        <v>743.85</v>
      </c>
      <c r="K25" s="714">
        <f t="shared" si="1"/>
        <v>11836.297801856834</v>
      </c>
      <c r="L25" s="629"/>
      <c r="M25" s="833" t="s">
        <v>1257</v>
      </c>
      <c r="N25" s="834"/>
      <c r="O25" s="835"/>
      <c r="P25" s="516"/>
      <c r="Q25" s="516">
        <f>SUM(Q16:Q24)</f>
        <v>81640000</v>
      </c>
    </row>
    <row r="26" spans="1:17" ht="16.5" customHeight="1">
      <c r="A26" s="713">
        <f t="shared" si="3"/>
        <v>21</v>
      </c>
      <c r="B26" s="296" t="s">
        <v>446</v>
      </c>
      <c r="C26" s="728">
        <v>41842</v>
      </c>
      <c r="D26" s="728" t="s">
        <v>589</v>
      </c>
      <c r="E26" s="910">
        <v>50</v>
      </c>
      <c r="F26" s="911">
        <v>20</v>
      </c>
      <c r="G26" s="911"/>
      <c r="H26" s="832">
        <f t="shared" si="4"/>
        <v>0.1</v>
      </c>
      <c r="I26" s="714">
        <v>1026</v>
      </c>
      <c r="J26" s="714">
        <f t="shared" si="0"/>
        <v>102.60000000000001</v>
      </c>
      <c r="K26" s="714">
        <f t="shared" si="1"/>
        <v>816.29640012805748</v>
      </c>
      <c r="L26" s="629"/>
      <c r="M26" s="443" t="s">
        <v>1258</v>
      </c>
      <c r="N26" s="728"/>
      <c r="O26" s="767"/>
      <c r="P26" s="754"/>
      <c r="Q26" s="8">
        <f>Q15</f>
        <v>475155600</v>
      </c>
    </row>
    <row r="27" spans="1:17" ht="16.5" customHeight="1">
      <c r="A27" s="713">
        <f t="shared" si="3"/>
        <v>22</v>
      </c>
      <c r="B27" s="296" t="s">
        <v>481</v>
      </c>
      <c r="C27" s="728">
        <v>41842</v>
      </c>
      <c r="D27" s="728" t="s">
        <v>590</v>
      </c>
      <c r="E27" s="910">
        <v>34</v>
      </c>
      <c r="F27" s="911">
        <v>24</v>
      </c>
      <c r="G27" s="911">
        <v>30</v>
      </c>
      <c r="H27" s="832">
        <f t="shared" si="4"/>
        <v>0.69</v>
      </c>
      <c r="I27" s="714">
        <v>1600</v>
      </c>
      <c r="J27" s="714">
        <f t="shared" si="0"/>
        <v>1104</v>
      </c>
      <c r="K27" s="714">
        <f t="shared" si="1"/>
        <v>5632.4451608835961</v>
      </c>
      <c r="L27" s="629"/>
      <c r="M27" s="443" t="s">
        <v>1259</v>
      </c>
      <c r="N27" s="728"/>
      <c r="O27" s="767"/>
      <c r="P27" s="754"/>
      <c r="Q27" s="8">
        <f>Q25</f>
        <v>81640000</v>
      </c>
    </row>
    <row r="28" spans="1:17" ht="16.5" customHeight="1">
      <c r="A28" s="713">
        <f t="shared" si="3"/>
        <v>23</v>
      </c>
      <c r="B28" s="296" t="s">
        <v>501</v>
      </c>
      <c r="C28" s="728">
        <v>41843</v>
      </c>
      <c r="D28" s="728" t="s">
        <v>591</v>
      </c>
      <c r="E28" s="910">
        <v>51.5</v>
      </c>
      <c r="F28" s="911">
        <v>25</v>
      </c>
      <c r="G28" s="911">
        <v>25.2</v>
      </c>
      <c r="H28" s="832">
        <f t="shared" si="4"/>
        <v>0.84</v>
      </c>
      <c r="I28" s="714">
        <v>563</v>
      </c>
      <c r="J28" s="714">
        <f t="shared" si="0"/>
        <v>472.91999999999996</v>
      </c>
      <c r="K28" s="714">
        <f t="shared" si="1"/>
        <v>6856.8897610756831</v>
      </c>
      <c r="L28" s="629"/>
      <c r="M28" s="443" t="s">
        <v>1260</v>
      </c>
      <c r="N28" s="728"/>
      <c r="O28" s="767"/>
      <c r="P28" s="754"/>
      <c r="Q28" s="8">
        <v>14690000</v>
      </c>
    </row>
    <row r="29" spans="1:17" ht="16.5" customHeight="1">
      <c r="A29" s="713">
        <f t="shared" si="3"/>
        <v>24</v>
      </c>
      <c r="B29" s="296" t="s">
        <v>504</v>
      </c>
      <c r="C29" s="728">
        <v>41843</v>
      </c>
      <c r="D29" s="728" t="s">
        <v>591</v>
      </c>
      <c r="E29" s="910">
        <v>51.5</v>
      </c>
      <c r="F29" s="911">
        <v>26</v>
      </c>
      <c r="G29" s="911">
        <v>27</v>
      </c>
      <c r="H29" s="832">
        <f t="shared" si="4"/>
        <v>0.9</v>
      </c>
      <c r="I29" s="714">
        <v>212</v>
      </c>
      <c r="J29" s="714">
        <f t="shared" si="0"/>
        <v>190.8</v>
      </c>
      <c r="K29" s="714">
        <f t="shared" si="1"/>
        <v>7346.6676011525178</v>
      </c>
      <c r="L29" s="629"/>
      <c r="M29" s="443" t="s">
        <v>1261</v>
      </c>
      <c r="N29" s="728"/>
      <c r="O29" s="767"/>
      <c r="P29" s="754"/>
      <c r="Q29" s="8">
        <v>30750000</v>
      </c>
    </row>
    <row r="30" spans="1:17" ht="16.5" customHeight="1">
      <c r="A30" s="713">
        <f t="shared" si="3"/>
        <v>25</v>
      </c>
      <c r="B30" s="296" t="s">
        <v>406</v>
      </c>
      <c r="C30" s="728">
        <v>41843</v>
      </c>
      <c r="D30" s="728" t="s">
        <v>591</v>
      </c>
      <c r="E30" s="910">
        <v>52</v>
      </c>
      <c r="F30" s="911">
        <v>32</v>
      </c>
      <c r="G30" s="911">
        <v>22</v>
      </c>
      <c r="H30" s="832">
        <f t="shared" si="4"/>
        <v>0.99</v>
      </c>
      <c r="I30" s="714">
        <v>197</v>
      </c>
      <c r="J30" s="714">
        <f t="shared" si="0"/>
        <v>195.03</v>
      </c>
      <c r="K30" s="714">
        <f t="shared" si="1"/>
        <v>8081.3343612677691</v>
      </c>
      <c r="L30" s="629"/>
      <c r="M30" s="443" t="s">
        <v>1262</v>
      </c>
      <c r="N30" s="728"/>
      <c r="O30" s="767"/>
      <c r="P30" s="754"/>
      <c r="Q30" s="8">
        <v>93090000</v>
      </c>
    </row>
    <row r="31" spans="1:17" ht="16.5" customHeight="1">
      <c r="A31" s="713">
        <f t="shared" si="3"/>
        <v>26</v>
      </c>
      <c r="B31" s="296" t="s">
        <v>505</v>
      </c>
      <c r="C31" s="728">
        <v>41843</v>
      </c>
      <c r="D31" s="728" t="s">
        <v>591</v>
      </c>
      <c r="E31" s="910">
        <v>51.5</v>
      </c>
      <c r="F31" s="911">
        <v>27.5</v>
      </c>
      <c r="G31" s="911">
        <v>27.5</v>
      </c>
      <c r="H31" s="832">
        <f t="shared" si="4"/>
        <v>0.95</v>
      </c>
      <c r="I31" s="714">
        <v>216</v>
      </c>
      <c r="J31" s="714">
        <f t="shared" si="0"/>
        <v>205.2</v>
      </c>
      <c r="K31" s="714">
        <f t="shared" si="1"/>
        <v>7754.8158012165459</v>
      </c>
      <c r="L31" s="629"/>
      <c r="M31" s="443"/>
      <c r="N31" s="728"/>
      <c r="O31" s="767"/>
      <c r="P31" s="754"/>
      <c r="Q31" s="8"/>
    </row>
    <row r="32" spans="1:17" ht="16.5" customHeight="1">
      <c r="A32" s="713">
        <f t="shared" si="3"/>
        <v>27</v>
      </c>
      <c r="B32" s="296" t="s">
        <v>592</v>
      </c>
      <c r="C32" s="728">
        <v>41843</v>
      </c>
      <c r="D32" s="728" t="s">
        <v>593</v>
      </c>
      <c r="E32" s="910">
        <v>69</v>
      </c>
      <c r="F32" s="911">
        <v>39</v>
      </c>
      <c r="G32" s="911">
        <v>54</v>
      </c>
      <c r="H32" s="832">
        <f t="shared" si="4"/>
        <v>2.12</v>
      </c>
      <c r="I32" s="714">
        <v>413</v>
      </c>
      <c r="J32" s="714">
        <f t="shared" si="0"/>
        <v>875.56000000000006</v>
      </c>
      <c r="K32" s="714">
        <f t="shared" si="1"/>
        <v>17305.483682714821</v>
      </c>
      <c r="L32" s="629"/>
      <c r="M32" s="833" t="s">
        <v>1263</v>
      </c>
      <c r="N32" s="834"/>
      <c r="O32" s="835"/>
      <c r="P32" s="516"/>
      <c r="Q32" s="516">
        <f>SUM(Q26:Q31)</f>
        <v>695325600</v>
      </c>
    </row>
    <row r="33" spans="1:17" ht="16.5" customHeight="1">
      <c r="A33" s="713">
        <f t="shared" si="3"/>
        <v>28</v>
      </c>
      <c r="B33" s="296" t="s">
        <v>594</v>
      </c>
      <c r="C33" s="728">
        <v>41843</v>
      </c>
      <c r="D33" s="728" t="s">
        <v>595</v>
      </c>
      <c r="E33" s="910">
        <v>55</v>
      </c>
      <c r="F33" s="911">
        <v>55</v>
      </c>
      <c r="G33" s="911">
        <v>75</v>
      </c>
      <c r="H33" s="832">
        <f t="shared" si="4"/>
        <v>2.99</v>
      </c>
      <c r="I33" s="714">
        <v>190</v>
      </c>
      <c r="J33" s="714">
        <f t="shared" si="0"/>
        <v>568.1</v>
      </c>
      <c r="K33" s="714">
        <f t="shared" si="1"/>
        <v>24407.262363828919</v>
      </c>
      <c r="L33" s="629"/>
      <c r="M33" s="444"/>
      <c r="N33" s="737"/>
      <c r="O33" s="770"/>
      <c r="P33" s="727"/>
      <c r="Q33" s="739"/>
    </row>
    <row r="34" spans="1:17" ht="16.5" customHeight="1">
      <c r="A34" s="713">
        <f t="shared" si="3"/>
        <v>29</v>
      </c>
      <c r="B34" s="296" t="s">
        <v>596</v>
      </c>
      <c r="C34" s="728">
        <v>41843</v>
      </c>
      <c r="D34" s="728" t="s">
        <v>597</v>
      </c>
      <c r="E34" s="910">
        <v>43</v>
      </c>
      <c r="F34" s="911">
        <v>27</v>
      </c>
      <c r="G34" s="911">
        <v>33</v>
      </c>
      <c r="H34" s="832">
        <f t="shared" si="4"/>
        <v>0.91</v>
      </c>
      <c r="I34" s="714">
        <v>202</v>
      </c>
      <c r="J34" s="714">
        <f t="shared" si="0"/>
        <v>183.82</v>
      </c>
      <c r="K34" s="714">
        <f t="shared" si="1"/>
        <v>7428.2972411653236</v>
      </c>
      <c r="L34" s="629"/>
      <c r="M34" s="444"/>
      <c r="N34" s="737"/>
      <c r="O34" s="770"/>
      <c r="P34" s="727"/>
      <c r="Q34" s="739"/>
    </row>
    <row r="35" spans="1:17" ht="16.5" customHeight="1">
      <c r="A35" s="713">
        <f t="shared" si="3"/>
        <v>30</v>
      </c>
      <c r="B35" s="296" t="s">
        <v>598</v>
      </c>
      <c r="C35" s="728">
        <v>41843</v>
      </c>
      <c r="D35" s="728" t="s">
        <v>597</v>
      </c>
      <c r="E35" s="910">
        <v>48</v>
      </c>
      <c r="F35" s="911">
        <v>47</v>
      </c>
      <c r="G35" s="911">
        <v>54.5</v>
      </c>
      <c r="H35" s="832">
        <f t="shared" si="4"/>
        <v>2.04</v>
      </c>
      <c r="I35" s="714">
        <v>103</v>
      </c>
      <c r="J35" s="714">
        <f t="shared" si="0"/>
        <v>210.12</v>
      </c>
      <c r="K35" s="714">
        <f t="shared" si="1"/>
        <v>16652.446562612375</v>
      </c>
      <c r="L35" s="629"/>
      <c r="M35" s="1127" t="s">
        <v>1264</v>
      </c>
      <c r="N35" s="1128"/>
      <c r="O35" s="1128"/>
      <c r="P35" s="1129"/>
      <c r="Q35" s="836">
        <f>Q32/J157</f>
        <v>8162.9640012805748</v>
      </c>
    </row>
    <row r="36" spans="1:17" ht="16.5" customHeight="1">
      <c r="A36" s="713">
        <f t="shared" si="3"/>
        <v>31</v>
      </c>
      <c r="B36" s="296" t="s">
        <v>599</v>
      </c>
      <c r="C36" s="728">
        <v>41845</v>
      </c>
      <c r="D36" s="728" t="s">
        <v>600</v>
      </c>
      <c r="E36" s="910">
        <v>45</v>
      </c>
      <c r="F36" s="911">
        <v>24</v>
      </c>
      <c r="G36" s="911">
        <v>20</v>
      </c>
      <c r="H36" s="832">
        <f t="shared" si="4"/>
        <v>0.67</v>
      </c>
      <c r="I36" s="714">
        <v>100</v>
      </c>
      <c r="J36" s="714">
        <f t="shared" si="0"/>
        <v>67</v>
      </c>
      <c r="K36" s="714">
        <f t="shared" si="1"/>
        <v>5469.1858808579855</v>
      </c>
      <c r="L36" s="629"/>
      <c r="M36" s="444"/>
      <c r="N36" s="737"/>
      <c r="O36" s="770"/>
      <c r="P36" s="727"/>
      <c r="Q36" s="739"/>
    </row>
    <row r="37" spans="1:17" ht="16.5" customHeight="1">
      <c r="A37" s="713">
        <f t="shared" si="3"/>
        <v>32</v>
      </c>
      <c r="B37" s="296" t="s">
        <v>601</v>
      </c>
      <c r="C37" s="728">
        <v>41845</v>
      </c>
      <c r="D37" s="728" t="s">
        <v>602</v>
      </c>
      <c r="E37" s="910">
        <v>49</v>
      </c>
      <c r="F37" s="911">
        <v>39</v>
      </c>
      <c r="G37" s="911">
        <v>28</v>
      </c>
      <c r="H37" s="832">
        <f t="shared" si="4"/>
        <v>1.27</v>
      </c>
      <c r="I37" s="714">
        <v>371</v>
      </c>
      <c r="J37" s="714">
        <f t="shared" si="0"/>
        <v>471.17</v>
      </c>
      <c r="K37" s="714">
        <f t="shared" si="1"/>
        <v>10366.964281626329</v>
      </c>
      <c r="L37" s="629"/>
      <c r="M37" s="444"/>
      <c r="N37" s="737"/>
      <c r="O37" s="770"/>
      <c r="P37" s="727"/>
      <c r="Q37" s="739"/>
    </row>
    <row r="38" spans="1:17" ht="16.5" customHeight="1">
      <c r="A38" s="713">
        <f t="shared" si="3"/>
        <v>33</v>
      </c>
      <c r="B38" s="296" t="s">
        <v>604</v>
      </c>
      <c r="C38" s="728">
        <v>41845</v>
      </c>
      <c r="D38" s="728" t="s">
        <v>602</v>
      </c>
      <c r="E38" s="910">
        <v>49</v>
      </c>
      <c r="F38" s="911">
        <v>39</v>
      </c>
      <c r="G38" s="911">
        <v>22</v>
      </c>
      <c r="H38" s="832">
        <f t="shared" si="4"/>
        <v>1.1599999999999999</v>
      </c>
      <c r="I38" s="714">
        <v>156</v>
      </c>
      <c r="J38" s="714">
        <f t="shared" si="0"/>
        <v>180.95999999999998</v>
      </c>
      <c r="K38" s="714">
        <f t="shared" ref="K38:K69" si="6">H38*$Q$35</f>
        <v>9469.0382414854666</v>
      </c>
      <c r="L38" s="629"/>
      <c r="M38" s="444"/>
      <c r="N38" s="737"/>
      <c r="O38" s="770"/>
      <c r="P38" s="727"/>
      <c r="Q38" s="739">
        <v>695325600</v>
      </c>
    </row>
    <row r="39" spans="1:17" ht="16.5" customHeight="1">
      <c r="A39" s="713">
        <f t="shared" si="3"/>
        <v>34</v>
      </c>
      <c r="B39" s="296" t="s">
        <v>624</v>
      </c>
      <c r="C39" s="728">
        <v>41845</v>
      </c>
      <c r="D39" s="728" t="s">
        <v>602</v>
      </c>
      <c r="E39" s="910">
        <v>30</v>
      </c>
      <c r="F39" s="911">
        <v>20</v>
      </c>
      <c r="G39" s="911"/>
      <c r="H39" s="832">
        <f t="shared" si="4"/>
        <v>0.06</v>
      </c>
      <c r="I39" s="714">
        <v>1400</v>
      </c>
      <c r="J39" s="714">
        <f t="shared" si="0"/>
        <v>84</v>
      </c>
      <c r="K39" s="714">
        <f t="shared" si="6"/>
        <v>489.77784007683448</v>
      </c>
      <c r="L39" s="629"/>
      <c r="M39" s="444"/>
      <c r="N39" s="737"/>
      <c r="O39" s="770"/>
      <c r="P39" s="727"/>
      <c r="Q39" s="739"/>
    </row>
    <row r="40" spans="1:17" ht="16.5" customHeight="1">
      <c r="A40" s="713">
        <f t="shared" si="3"/>
        <v>35</v>
      </c>
      <c r="B40" s="296" t="s">
        <v>605</v>
      </c>
      <c r="C40" s="728">
        <v>41845</v>
      </c>
      <c r="D40" s="728" t="s">
        <v>606</v>
      </c>
      <c r="E40" s="910">
        <v>52</v>
      </c>
      <c r="F40" s="911">
        <v>28</v>
      </c>
      <c r="G40" s="911">
        <v>34</v>
      </c>
      <c r="H40" s="832">
        <f t="shared" si="4"/>
        <v>1.07</v>
      </c>
      <c r="I40" s="714">
        <v>97</v>
      </c>
      <c r="J40" s="714">
        <f t="shared" si="0"/>
        <v>103.79</v>
      </c>
      <c r="K40" s="714">
        <f t="shared" si="6"/>
        <v>8734.3714813702154</v>
      </c>
      <c r="L40" s="629"/>
      <c r="M40" s="444"/>
      <c r="N40" s="737"/>
      <c r="O40" s="770"/>
      <c r="P40" s="727"/>
      <c r="Q40" s="739"/>
    </row>
    <row r="41" spans="1:17" ht="16.5" customHeight="1">
      <c r="A41" s="713">
        <f t="shared" si="3"/>
        <v>36</v>
      </c>
      <c r="B41" s="296" t="s">
        <v>607</v>
      </c>
      <c r="C41" s="728">
        <v>41849</v>
      </c>
      <c r="D41" s="728" t="s">
        <v>608</v>
      </c>
      <c r="E41" s="910">
        <v>39.5</v>
      </c>
      <c r="F41" s="911">
        <v>41.5</v>
      </c>
      <c r="G41" s="911">
        <v>27</v>
      </c>
      <c r="H41" s="832">
        <f t="shared" si="4"/>
        <v>1.19</v>
      </c>
      <c r="I41" s="714">
        <v>1920</v>
      </c>
      <c r="J41" s="714">
        <f t="shared" si="0"/>
        <v>2284.7999999999997</v>
      </c>
      <c r="K41" s="714">
        <f t="shared" si="6"/>
        <v>9713.9271615238831</v>
      </c>
      <c r="L41" s="629"/>
      <c r="M41" s="444"/>
      <c r="N41" s="737"/>
      <c r="O41" s="770"/>
      <c r="P41" s="727"/>
      <c r="Q41" s="739"/>
    </row>
    <row r="42" spans="1:17" ht="16.5" customHeight="1">
      <c r="A42" s="713">
        <f t="shared" si="3"/>
        <v>37</v>
      </c>
      <c r="B42" s="296" t="s">
        <v>609</v>
      </c>
      <c r="C42" s="728">
        <v>41849</v>
      </c>
      <c r="D42" s="728" t="s">
        <v>608</v>
      </c>
      <c r="E42" s="910">
        <v>42</v>
      </c>
      <c r="F42" s="911">
        <v>40</v>
      </c>
      <c r="G42" s="911">
        <v>48</v>
      </c>
      <c r="H42" s="832">
        <f t="shared" si="4"/>
        <v>1.54</v>
      </c>
      <c r="I42" s="714">
        <v>560</v>
      </c>
      <c r="J42" s="714">
        <f t="shared" si="0"/>
        <v>862.4</v>
      </c>
      <c r="K42" s="714">
        <f t="shared" si="6"/>
        <v>12570.964561972085</v>
      </c>
      <c r="L42" s="629"/>
      <c r="M42" s="444"/>
      <c r="N42" s="737"/>
      <c r="O42" s="770"/>
      <c r="P42" s="727"/>
      <c r="Q42" s="739"/>
    </row>
    <row r="43" spans="1:17" ht="16.5" customHeight="1">
      <c r="A43" s="713">
        <f t="shared" si="3"/>
        <v>38</v>
      </c>
      <c r="B43" s="296" t="s">
        <v>567</v>
      </c>
      <c r="C43" s="728">
        <v>41849</v>
      </c>
      <c r="D43" s="728" t="s">
        <v>610</v>
      </c>
      <c r="E43" s="910">
        <v>49</v>
      </c>
      <c r="F43" s="911">
        <v>38</v>
      </c>
      <c r="G43" s="911">
        <v>13</v>
      </c>
      <c r="H43" s="832">
        <f t="shared" si="4"/>
        <v>0.97</v>
      </c>
      <c r="I43" s="714">
        <v>515</v>
      </c>
      <c r="J43" s="714">
        <f t="shared" si="0"/>
        <v>499.55</v>
      </c>
      <c r="K43" s="714">
        <f t="shared" si="6"/>
        <v>7918.0750812421575</v>
      </c>
      <c r="L43" s="629"/>
      <c r="M43" s="444"/>
      <c r="N43" s="737"/>
      <c r="O43" s="770"/>
      <c r="P43" s="727"/>
      <c r="Q43" s="739"/>
    </row>
    <row r="44" spans="1:17" ht="16.5" customHeight="1">
      <c r="A44" s="713">
        <f t="shared" si="3"/>
        <v>39</v>
      </c>
      <c r="B44" s="296" t="s">
        <v>611</v>
      </c>
      <c r="C44" s="728">
        <v>41849</v>
      </c>
      <c r="D44" s="728" t="s">
        <v>610</v>
      </c>
      <c r="E44" s="910">
        <v>42</v>
      </c>
      <c r="F44" s="911">
        <v>28</v>
      </c>
      <c r="G44" s="911">
        <v>12</v>
      </c>
      <c r="H44" s="832">
        <f t="shared" si="4"/>
        <v>0.62</v>
      </c>
      <c r="I44" s="714">
        <v>500</v>
      </c>
      <c r="J44" s="714">
        <f t="shared" si="0"/>
        <v>310</v>
      </c>
      <c r="K44" s="714">
        <f t="shared" si="6"/>
        <v>5061.0376807939565</v>
      </c>
      <c r="L44" s="629"/>
      <c r="M44" s="444"/>
      <c r="N44" s="737"/>
      <c r="O44" s="770"/>
      <c r="P44" s="727"/>
      <c r="Q44" s="739"/>
    </row>
    <row r="45" spans="1:17" ht="16.5" customHeight="1">
      <c r="A45" s="713">
        <f t="shared" si="3"/>
        <v>40</v>
      </c>
      <c r="B45" s="189" t="s">
        <v>418</v>
      </c>
      <c r="C45" s="728">
        <v>41850</v>
      </c>
      <c r="D45" s="728" t="s">
        <v>612</v>
      </c>
      <c r="E45" s="910">
        <v>36.1</v>
      </c>
      <c r="F45" s="911">
        <v>25.3</v>
      </c>
      <c r="G45" s="911">
        <v>24</v>
      </c>
      <c r="H45" s="832">
        <f t="shared" si="4"/>
        <v>0.67</v>
      </c>
      <c r="I45" s="714">
        <v>2554</v>
      </c>
      <c r="J45" s="714">
        <f t="shared" si="0"/>
        <v>1711.18</v>
      </c>
      <c r="K45" s="714">
        <f t="shared" si="6"/>
        <v>5469.1858808579855</v>
      </c>
      <c r="L45" s="629"/>
      <c r="M45" s="444"/>
      <c r="N45" s="737"/>
      <c r="O45" s="770"/>
      <c r="P45" s="727"/>
      <c r="Q45" s="739"/>
    </row>
    <row r="46" spans="1:17" ht="16.5" customHeight="1">
      <c r="A46" s="713">
        <f t="shared" si="3"/>
        <v>41</v>
      </c>
      <c r="B46" s="296" t="s">
        <v>613</v>
      </c>
      <c r="C46" s="728">
        <v>41850</v>
      </c>
      <c r="D46" s="728" t="s">
        <v>612</v>
      </c>
      <c r="E46" s="910">
        <v>33.700000000000003</v>
      </c>
      <c r="F46" s="911">
        <v>22.7</v>
      </c>
      <c r="G46" s="911">
        <v>19.3</v>
      </c>
      <c r="H46" s="832">
        <f t="shared" si="4"/>
        <v>0.53</v>
      </c>
      <c r="I46" s="714">
        <v>330</v>
      </c>
      <c r="J46" s="714">
        <f t="shared" si="0"/>
        <v>174.9</v>
      </c>
      <c r="K46" s="714">
        <f t="shared" si="6"/>
        <v>4326.3709206787053</v>
      </c>
      <c r="L46" s="629"/>
      <c r="M46" s="444"/>
      <c r="N46" s="737"/>
      <c r="O46" s="770"/>
      <c r="P46" s="727"/>
      <c r="Q46" s="739"/>
    </row>
    <row r="47" spans="1:17" ht="16.5" customHeight="1">
      <c r="A47" s="713">
        <f t="shared" si="3"/>
        <v>42</v>
      </c>
      <c r="B47" s="296" t="s">
        <v>422</v>
      </c>
      <c r="C47" s="728">
        <v>41857</v>
      </c>
      <c r="D47" s="728" t="s">
        <v>614</v>
      </c>
      <c r="E47" s="910">
        <v>56</v>
      </c>
      <c r="F47" s="911">
        <v>48</v>
      </c>
      <c r="G47" s="911">
        <v>17</v>
      </c>
      <c r="H47" s="832">
        <f t="shared" si="4"/>
        <v>1.45</v>
      </c>
      <c r="I47" s="714">
        <v>500</v>
      </c>
      <c r="J47" s="714">
        <f t="shared" si="0"/>
        <v>725</v>
      </c>
      <c r="K47" s="714">
        <f t="shared" si="6"/>
        <v>11836.297801856834</v>
      </c>
      <c r="L47" s="629"/>
      <c r="M47" s="444"/>
      <c r="N47" s="737"/>
      <c r="O47" s="770"/>
      <c r="P47" s="727"/>
      <c r="Q47" s="739"/>
    </row>
    <row r="48" spans="1:17" ht="16.5" customHeight="1">
      <c r="A48" s="713">
        <f t="shared" si="3"/>
        <v>43</v>
      </c>
      <c r="B48" s="296" t="s">
        <v>446</v>
      </c>
      <c r="C48" s="728">
        <v>41858</v>
      </c>
      <c r="D48" s="728" t="s">
        <v>614</v>
      </c>
      <c r="E48" s="910">
        <v>50</v>
      </c>
      <c r="F48" s="911">
        <v>20</v>
      </c>
      <c r="G48" s="911"/>
      <c r="H48" s="832">
        <f t="shared" si="4"/>
        <v>0.1</v>
      </c>
      <c r="I48" s="714">
        <v>1000</v>
      </c>
      <c r="J48" s="714">
        <f t="shared" si="0"/>
        <v>100</v>
      </c>
      <c r="K48" s="714">
        <f t="shared" si="6"/>
        <v>816.29640012805748</v>
      </c>
      <c r="L48" s="629"/>
      <c r="M48" s="444"/>
      <c r="N48" s="737"/>
      <c r="O48" s="770"/>
      <c r="P48" s="727"/>
      <c r="Q48" s="739"/>
    </row>
    <row r="49" spans="1:17" ht="16.5" customHeight="1">
      <c r="A49" s="713">
        <f t="shared" si="3"/>
        <v>44</v>
      </c>
      <c r="B49" s="296" t="s">
        <v>495</v>
      </c>
      <c r="C49" s="728">
        <v>41859</v>
      </c>
      <c r="D49" s="728" t="s">
        <v>615</v>
      </c>
      <c r="E49" s="910">
        <v>42</v>
      </c>
      <c r="F49" s="911">
        <v>26</v>
      </c>
      <c r="G49" s="911">
        <v>33</v>
      </c>
      <c r="H49" s="832">
        <f t="shared" si="4"/>
        <v>0.87</v>
      </c>
      <c r="I49" s="714">
        <v>300</v>
      </c>
      <c r="J49" s="714">
        <f t="shared" si="0"/>
        <v>261</v>
      </c>
      <c r="K49" s="714">
        <f t="shared" si="6"/>
        <v>7101.7786811141004</v>
      </c>
      <c r="L49" s="629"/>
      <c r="M49" s="444"/>
      <c r="N49" s="737"/>
      <c r="O49" s="770"/>
      <c r="P49" s="727"/>
      <c r="Q49" s="739"/>
    </row>
    <row r="50" spans="1:17" ht="16.5" customHeight="1">
      <c r="A50" s="713">
        <f t="shared" si="3"/>
        <v>45</v>
      </c>
      <c r="B50" s="296" t="s">
        <v>616</v>
      </c>
      <c r="C50" s="728">
        <v>41859</v>
      </c>
      <c r="D50" s="728" t="s">
        <v>617</v>
      </c>
      <c r="E50" s="910">
        <v>34</v>
      </c>
      <c r="F50" s="911">
        <v>30</v>
      </c>
      <c r="G50" s="911">
        <v>18</v>
      </c>
      <c r="H50" s="832">
        <f t="shared" si="4"/>
        <v>0.68</v>
      </c>
      <c r="I50" s="714">
        <v>393</v>
      </c>
      <c r="J50" s="714">
        <f t="shared" si="0"/>
        <v>267.24</v>
      </c>
      <c r="K50" s="714">
        <f t="shared" si="6"/>
        <v>5550.8155208707913</v>
      </c>
      <c r="L50" s="629"/>
      <c r="M50" s="444"/>
      <c r="N50" s="737"/>
      <c r="O50" s="770"/>
      <c r="P50" s="727"/>
      <c r="Q50" s="739"/>
    </row>
    <row r="51" spans="1:17" ht="16.5" customHeight="1">
      <c r="A51" s="713">
        <f t="shared" si="3"/>
        <v>46</v>
      </c>
      <c r="B51" s="296" t="s">
        <v>619</v>
      </c>
      <c r="C51" s="728">
        <v>41859</v>
      </c>
      <c r="D51" s="728" t="s">
        <v>620</v>
      </c>
      <c r="E51" s="910">
        <v>50</v>
      </c>
      <c r="F51" s="911">
        <v>40</v>
      </c>
      <c r="G51" s="911">
        <v>52</v>
      </c>
      <c r="H51" s="832">
        <f t="shared" si="4"/>
        <v>1.76</v>
      </c>
      <c r="I51" s="714">
        <v>198</v>
      </c>
      <c r="J51" s="714">
        <f t="shared" si="0"/>
        <v>348.48</v>
      </c>
      <c r="K51" s="714">
        <f t="shared" si="6"/>
        <v>14366.816642253812</v>
      </c>
      <c r="L51" s="629"/>
      <c r="M51" s="444"/>
      <c r="N51" s="737"/>
      <c r="O51" s="770"/>
      <c r="P51" s="727"/>
      <c r="Q51" s="739"/>
    </row>
    <row r="52" spans="1:17" ht="16.5" customHeight="1">
      <c r="A52" s="713">
        <f t="shared" si="3"/>
        <v>47</v>
      </c>
      <c r="B52" s="296" t="s">
        <v>621</v>
      </c>
      <c r="C52" s="728">
        <v>41859</v>
      </c>
      <c r="D52" s="728" t="s">
        <v>620</v>
      </c>
      <c r="E52" s="910">
        <v>38</v>
      </c>
      <c r="F52" s="911">
        <v>24</v>
      </c>
      <c r="G52" s="911">
        <v>50</v>
      </c>
      <c r="H52" s="832">
        <f t="shared" si="4"/>
        <v>0.99</v>
      </c>
      <c r="I52" s="714">
        <v>996</v>
      </c>
      <c r="J52" s="714">
        <f t="shared" si="0"/>
        <v>986.04</v>
      </c>
      <c r="K52" s="714">
        <f t="shared" si="6"/>
        <v>8081.3343612677691</v>
      </c>
      <c r="L52" s="629"/>
      <c r="M52" s="444"/>
      <c r="N52" s="737"/>
      <c r="O52" s="770"/>
      <c r="P52" s="727"/>
      <c r="Q52" s="739"/>
    </row>
    <row r="53" spans="1:17" ht="16.5" customHeight="1">
      <c r="A53" s="713">
        <f t="shared" si="3"/>
        <v>48</v>
      </c>
      <c r="B53" s="296" t="s">
        <v>622</v>
      </c>
      <c r="C53" s="728">
        <v>41859</v>
      </c>
      <c r="D53" s="728" t="s">
        <v>620</v>
      </c>
      <c r="E53" s="910">
        <v>50</v>
      </c>
      <c r="F53" s="911">
        <v>40</v>
      </c>
      <c r="G53" s="911">
        <v>48</v>
      </c>
      <c r="H53" s="832">
        <f t="shared" si="4"/>
        <v>1.68</v>
      </c>
      <c r="I53" s="714">
        <v>650</v>
      </c>
      <c r="J53" s="714">
        <f t="shared" si="0"/>
        <v>1092</v>
      </c>
      <c r="K53" s="714">
        <f t="shared" si="6"/>
        <v>13713.779522151366</v>
      </c>
      <c r="L53" s="629"/>
      <c r="M53" s="444"/>
      <c r="N53" s="737"/>
      <c r="O53" s="770"/>
      <c r="P53" s="727"/>
      <c r="Q53" s="739"/>
    </row>
    <row r="54" spans="1:17" ht="16.5" customHeight="1">
      <c r="A54" s="713">
        <f t="shared" si="3"/>
        <v>49</v>
      </c>
      <c r="B54" s="296" t="s">
        <v>623</v>
      </c>
      <c r="C54" s="728">
        <v>41859</v>
      </c>
      <c r="D54" s="728" t="s">
        <v>620</v>
      </c>
      <c r="E54" s="910">
        <v>48</v>
      </c>
      <c r="F54" s="911">
        <v>38</v>
      </c>
      <c r="G54" s="911">
        <v>23</v>
      </c>
      <c r="H54" s="832">
        <f t="shared" si="4"/>
        <v>1.1299999999999999</v>
      </c>
      <c r="I54" s="714">
        <v>1440</v>
      </c>
      <c r="J54" s="714">
        <f t="shared" si="0"/>
        <v>1627.1999999999998</v>
      </c>
      <c r="K54" s="714">
        <f t="shared" si="6"/>
        <v>9224.1493214470484</v>
      </c>
      <c r="L54" s="629"/>
      <c r="M54" s="444"/>
      <c r="N54" s="737"/>
      <c r="O54" s="770"/>
      <c r="P54" s="727"/>
      <c r="Q54" s="739"/>
    </row>
    <row r="55" spans="1:17" ht="16.5" customHeight="1">
      <c r="A55" s="713">
        <f t="shared" si="3"/>
        <v>50</v>
      </c>
      <c r="B55" s="296" t="s">
        <v>601</v>
      </c>
      <c r="C55" s="728">
        <v>41859</v>
      </c>
      <c r="D55" s="728" t="s">
        <v>620</v>
      </c>
      <c r="E55" s="910">
        <v>49</v>
      </c>
      <c r="F55" s="911">
        <v>39</v>
      </c>
      <c r="G55" s="911">
        <v>28</v>
      </c>
      <c r="H55" s="832">
        <f t="shared" si="4"/>
        <v>1.27</v>
      </c>
      <c r="I55" s="714">
        <v>160</v>
      </c>
      <c r="J55" s="714">
        <f t="shared" si="0"/>
        <v>203.2</v>
      </c>
      <c r="K55" s="714">
        <f t="shared" si="6"/>
        <v>10366.964281626329</v>
      </c>
      <c r="L55" s="629"/>
      <c r="M55" s="444"/>
      <c r="N55" s="737"/>
      <c r="O55" s="770"/>
      <c r="P55" s="727"/>
      <c r="Q55" s="739"/>
    </row>
    <row r="56" spans="1:17" ht="16.5" customHeight="1">
      <c r="A56" s="713">
        <f t="shared" si="3"/>
        <v>51</v>
      </c>
      <c r="B56" s="296" t="s">
        <v>624</v>
      </c>
      <c r="C56" s="728">
        <v>41859</v>
      </c>
      <c r="D56" s="728" t="s">
        <v>620</v>
      </c>
      <c r="E56" s="910">
        <v>30</v>
      </c>
      <c r="F56" s="911">
        <v>20</v>
      </c>
      <c r="G56" s="911"/>
      <c r="H56" s="832">
        <f t="shared" si="4"/>
        <v>0.06</v>
      </c>
      <c r="I56" s="714">
        <v>4400</v>
      </c>
      <c r="J56" s="714">
        <f t="shared" si="0"/>
        <v>264</v>
      </c>
      <c r="K56" s="714">
        <f t="shared" si="6"/>
        <v>489.77784007683448</v>
      </c>
      <c r="L56" s="629"/>
      <c r="M56" s="444"/>
      <c r="N56" s="737"/>
      <c r="O56" s="770"/>
      <c r="P56" s="727"/>
      <c r="Q56" s="739"/>
    </row>
    <row r="57" spans="1:17" ht="16.5" customHeight="1">
      <c r="A57" s="713">
        <f t="shared" si="3"/>
        <v>52</v>
      </c>
      <c r="B57" s="296" t="s">
        <v>460</v>
      </c>
      <c r="C57" s="728">
        <v>41863</v>
      </c>
      <c r="D57" s="728" t="s">
        <v>625</v>
      </c>
      <c r="E57" s="910">
        <v>55</v>
      </c>
      <c r="F57" s="911">
        <v>28</v>
      </c>
      <c r="G57" s="911">
        <v>23</v>
      </c>
      <c r="H57" s="832">
        <f t="shared" si="4"/>
        <v>0.92</v>
      </c>
      <c r="I57" s="714">
        <v>1043</v>
      </c>
      <c r="J57" s="714">
        <f t="shared" si="0"/>
        <v>959.56000000000006</v>
      </c>
      <c r="K57" s="714">
        <f t="shared" si="6"/>
        <v>7509.9268811781294</v>
      </c>
      <c r="L57" s="629"/>
      <c r="M57" s="444"/>
      <c r="N57" s="737"/>
      <c r="O57" s="770"/>
      <c r="P57" s="727"/>
      <c r="Q57" s="739"/>
    </row>
    <row r="58" spans="1:17" ht="16.5" customHeight="1">
      <c r="A58" s="713">
        <f t="shared" si="3"/>
        <v>53</v>
      </c>
      <c r="B58" s="296" t="s">
        <v>437</v>
      </c>
      <c r="C58" s="728">
        <v>41864</v>
      </c>
      <c r="D58" s="728" t="s">
        <v>626</v>
      </c>
      <c r="E58" s="910">
        <v>49</v>
      </c>
      <c r="F58" s="911">
        <v>38</v>
      </c>
      <c r="G58" s="911">
        <v>12</v>
      </c>
      <c r="H58" s="832">
        <f t="shared" si="4"/>
        <v>0.95</v>
      </c>
      <c r="I58" s="714">
        <v>650</v>
      </c>
      <c r="J58" s="714">
        <f t="shared" si="0"/>
        <v>617.5</v>
      </c>
      <c r="K58" s="714">
        <f t="shared" si="6"/>
        <v>7754.8158012165459</v>
      </c>
      <c r="L58" s="629"/>
      <c r="M58" s="444"/>
      <c r="N58" s="737"/>
      <c r="O58" s="770"/>
      <c r="P58" s="727"/>
      <c r="Q58" s="739"/>
    </row>
    <row r="59" spans="1:17" ht="16.5" customHeight="1">
      <c r="A59" s="713">
        <f t="shared" si="3"/>
        <v>54</v>
      </c>
      <c r="B59" s="296" t="s">
        <v>495</v>
      </c>
      <c r="C59" s="728">
        <v>41865</v>
      </c>
      <c r="D59" s="728" t="s">
        <v>627</v>
      </c>
      <c r="E59" s="910">
        <v>42</v>
      </c>
      <c r="F59" s="911">
        <v>26</v>
      </c>
      <c r="G59" s="911">
        <v>33</v>
      </c>
      <c r="H59" s="832">
        <f t="shared" si="4"/>
        <v>0.87</v>
      </c>
      <c r="I59" s="714">
        <v>208</v>
      </c>
      <c r="J59" s="714">
        <f t="shared" si="0"/>
        <v>180.96</v>
      </c>
      <c r="K59" s="714">
        <f t="shared" si="6"/>
        <v>7101.7786811141004</v>
      </c>
      <c r="L59" s="629"/>
      <c r="M59" s="444"/>
      <c r="N59" s="737"/>
      <c r="O59" s="770"/>
      <c r="P59" s="727"/>
      <c r="Q59" s="739"/>
    </row>
    <row r="60" spans="1:17" ht="16.5" customHeight="1">
      <c r="A60" s="713">
        <f t="shared" si="3"/>
        <v>55</v>
      </c>
      <c r="B60" s="296" t="s">
        <v>513</v>
      </c>
      <c r="C60" s="728">
        <v>41865</v>
      </c>
      <c r="D60" s="728" t="s">
        <v>627</v>
      </c>
      <c r="E60" s="910">
        <v>32.5</v>
      </c>
      <c r="F60" s="911">
        <v>32.5</v>
      </c>
      <c r="G60" s="911">
        <v>16</v>
      </c>
      <c r="H60" s="832">
        <f t="shared" si="4"/>
        <v>0.7</v>
      </c>
      <c r="I60" s="714">
        <v>320</v>
      </c>
      <c r="J60" s="714">
        <f t="shared" si="0"/>
        <v>224</v>
      </c>
      <c r="K60" s="714">
        <f t="shared" si="6"/>
        <v>5714.0748008964019</v>
      </c>
      <c r="L60" s="629"/>
      <c r="M60" s="444"/>
      <c r="N60" s="737"/>
      <c r="O60" s="770"/>
      <c r="P60" s="727"/>
      <c r="Q60" s="739"/>
    </row>
    <row r="61" spans="1:17" ht="16.5" customHeight="1">
      <c r="A61" s="713">
        <f t="shared" si="3"/>
        <v>56</v>
      </c>
      <c r="B61" s="296" t="s">
        <v>587</v>
      </c>
      <c r="C61" s="728">
        <v>41865</v>
      </c>
      <c r="D61" s="728" t="s">
        <v>628</v>
      </c>
      <c r="E61" s="910">
        <v>45.5</v>
      </c>
      <c r="F61" s="911">
        <v>41.5</v>
      </c>
      <c r="G61" s="911">
        <v>25</v>
      </c>
      <c r="H61" s="832">
        <f t="shared" si="4"/>
        <v>1.24</v>
      </c>
      <c r="I61" s="714">
        <v>740</v>
      </c>
      <c r="J61" s="714">
        <f t="shared" si="0"/>
        <v>917.6</v>
      </c>
      <c r="K61" s="714">
        <f t="shared" si="6"/>
        <v>10122.075361587913</v>
      </c>
      <c r="L61" s="629"/>
      <c r="M61" s="444"/>
      <c r="N61" s="737"/>
      <c r="O61" s="770"/>
      <c r="P61" s="727"/>
      <c r="Q61" s="739"/>
    </row>
    <row r="62" spans="1:17" ht="16.5" customHeight="1">
      <c r="A62" s="713">
        <f t="shared" si="3"/>
        <v>57</v>
      </c>
      <c r="B62" s="296" t="s">
        <v>629</v>
      </c>
      <c r="C62" s="728">
        <v>41866</v>
      </c>
      <c r="D62" s="728" t="s">
        <v>630</v>
      </c>
      <c r="E62" s="910">
        <v>44</v>
      </c>
      <c r="F62" s="911">
        <v>23.5</v>
      </c>
      <c r="G62" s="911">
        <v>16</v>
      </c>
      <c r="H62" s="832">
        <f t="shared" si="4"/>
        <v>0.6</v>
      </c>
      <c r="I62" s="714">
        <v>100</v>
      </c>
      <c r="J62" s="714">
        <f t="shared" si="0"/>
        <v>60</v>
      </c>
      <c r="K62" s="714">
        <f t="shared" si="6"/>
        <v>4897.7784007683449</v>
      </c>
      <c r="L62" s="629"/>
      <c r="M62" s="444"/>
      <c r="N62" s="737"/>
      <c r="O62" s="770"/>
      <c r="P62" s="727"/>
      <c r="Q62" s="739"/>
    </row>
    <row r="63" spans="1:17" ht="16.5" customHeight="1">
      <c r="A63" s="713">
        <f t="shared" si="3"/>
        <v>58</v>
      </c>
      <c r="B63" s="296" t="s">
        <v>524</v>
      </c>
      <c r="C63" s="728">
        <v>41866</v>
      </c>
      <c r="D63" s="728" t="s">
        <v>630</v>
      </c>
      <c r="E63" s="910">
        <v>37.5</v>
      </c>
      <c r="F63" s="911">
        <v>30.5</v>
      </c>
      <c r="G63" s="911">
        <v>10</v>
      </c>
      <c r="H63" s="832">
        <f t="shared" si="4"/>
        <v>0.61</v>
      </c>
      <c r="I63" s="714">
        <v>120</v>
      </c>
      <c r="J63" s="714">
        <f t="shared" si="0"/>
        <v>73.2</v>
      </c>
      <c r="K63" s="714">
        <f t="shared" si="6"/>
        <v>4979.4080407811507</v>
      </c>
      <c r="L63" s="629"/>
      <c r="M63" s="444"/>
      <c r="N63" s="737"/>
      <c r="O63" s="770"/>
      <c r="P63" s="727"/>
      <c r="Q63" s="739"/>
    </row>
    <row r="64" spans="1:17" ht="16.5" customHeight="1">
      <c r="A64" s="713">
        <f t="shared" si="3"/>
        <v>59</v>
      </c>
      <c r="B64" s="296" t="s">
        <v>631</v>
      </c>
      <c r="C64" s="728">
        <v>41866</v>
      </c>
      <c r="D64" s="728" t="s">
        <v>630</v>
      </c>
      <c r="E64" s="910">
        <v>32</v>
      </c>
      <c r="F64" s="911">
        <v>15.5</v>
      </c>
      <c r="G64" s="911">
        <v>25</v>
      </c>
      <c r="H64" s="832">
        <f t="shared" si="4"/>
        <v>0.44</v>
      </c>
      <c r="I64" s="714">
        <v>470</v>
      </c>
      <c r="J64" s="714">
        <f t="shared" si="0"/>
        <v>206.8</v>
      </c>
      <c r="K64" s="714">
        <f t="shared" si="6"/>
        <v>3591.7041605634531</v>
      </c>
      <c r="L64" s="629"/>
      <c r="M64" s="444"/>
      <c r="N64" s="737"/>
      <c r="O64" s="770"/>
      <c r="P64" s="727"/>
      <c r="Q64" s="739"/>
    </row>
    <row r="65" spans="1:17" ht="16.5" customHeight="1">
      <c r="A65" s="713">
        <f t="shared" si="3"/>
        <v>60</v>
      </c>
      <c r="B65" s="296" t="s">
        <v>632</v>
      </c>
      <c r="C65" s="728">
        <v>41866</v>
      </c>
      <c r="D65" s="728" t="s">
        <v>630</v>
      </c>
      <c r="E65" s="910">
        <v>38</v>
      </c>
      <c r="F65" s="911">
        <v>18.5</v>
      </c>
      <c r="G65" s="911">
        <v>18</v>
      </c>
      <c r="H65" s="832">
        <f t="shared" si="4"/>
        <v>0.47</v>
      </c>
      <c r="I65" s="714">
        <v>350</v>
      </c>
      <c r="J65" s="714">
        <f t="shared" si="0"/>
        <v>164.5</v>
      </c>
      <c r="K65" s="714">
        <f t="shared" si="6"/>
        <v>3836.59308060187</v>
      </c>
      <c r="L65" s="629"/>
      <c r="M65" s="444"/>
      <c r="N65" s="737"/>
      <c r="O65" s="770"/>
      <c r="P65" s="727"/>
      <c r="Q65" s="739"/>
    </row>
    <row r="66" spans="1:17" ht="16.5" customHeight="1">
      <c r="A66" s="713">
        <f t="shared" si="3"/>
        <v>61</v>
      </c>
      <c r="B66" s="296" t="s">
        <v>633</v>
      </c>
      <c r="C66" s="728">
        <v>41866</v>
      </c>
      <c r="D66" s="728" t="s">
        <v>630</v>
      </c>
      <c r="E66" s="910">
        <v>50</v>
      </c>
      <c r="F66" s="911">
        <v>28</v>
      </c>
      <c r="G66" s="911">
        <v>17</v>
      </c>
      <c r="H66" s="832">
        <f t="shared" si="4"/>
        <v>0.77</v>
      </c>
      <c r="I66" s="714">
        <v>330</v>
      </c>
      <c r="J66" s="714">
        <f t="shared" si="0"/>
        <v>254.1</v>
      </c>
      <c r="K66" s="714">
        <f t="shared" si="6"/>
        <v>6285.4822809860425</v>
      </c>
      <c r="L66" s="629"/>
      <c r="M66" s="444"/>
      <c r="N66" s="737"/>
      <c r="O66" s="770"/>
      <c r="P66" s="727"/>
      <c r="Q66" s="739"/>
    </row>
    <row r="67" spans="1:17" ht="16.5" customHeight="1">
      <c r="A67" s="713">
        <f t="shared" si="3"/>
        <v>62</v>
      </c>
      <c r="B67" s="296" t="s">
        <v>424</v>
      </c>
      <c r="C67" s="728">
        <v>41866</v>
      </c>
      <c r="D67" s="728" t="s">
        <v>634</v>
      </c>
      <c r="E67" s="910">
        <v>39</v>
      </c>
      <c r="F67" s="911">
        <v>29</v>
      </c>
      <c r="G67" s="911">
        <v>37</v>
      </c>
      <c r="H67" s="832">
        <f t="shared" si="4"/>
        <v>0.97</v>
      </c>
      <c r="I67" s="714">
        <v>488</v>
      </c>
      <c r="J67" s="714">
        <f t="shared" si="0"/>
        <v>473.36</v>
      </c>
      <c r="K67" s="714">
        <f t="shared" si="6"/>
        <v>7918.0750812421575</v>
      </c>
      <c r="L67" s="629"/>
      <c r="M67" s="444"/>
      <c r="N67" s="737"/>
      <c r="O67" s="770"/>
      <c r="P67" s="727"/>
      <c r="Q67" s="739"/>
    </row>
    <row r="68" spans="1:17" ht="16.5" customHeight="1">
      <c r="A68" s="713">
        <f t="shared" si="3"/>
        <v>63</v>
      </c>
      <c r="B68" s="296" t="s">
        <v>635</v>
      </c>
      <c r="C68" s="728">
        <v>41869</v>
      </c>
      <c r="D68" s="728" t="s">
        <v>636</v>
      </c>
      <c r="E68" s="910">
        <v>32.5</v>
      </c>
      <c r="F68" s="911">
        <v>32.5</v>
      </c>
      <c r="G68" s="911">
        <v>16</v>
      </c>
      <c r="H68" s="832">
        <f t="shared" si="4"/>
        <v>0.7</v>
      </c>
      <c r="I68" s="714">
        <v>200</v>
      </c>
      <c r="J68" s="714">
        <f t="shared" si="0"/>
        <v>140</v>
      </c>
      <c r="K68" s="714">
        <f t="shared" si="6"/>
        <v>5714.0748008964019</v>
      </c>
      <c r="L68" s="629"/>
      <c r="M68" s="444"/>
      <c r="N68" s="737"/>
      <c r="O68" s="770"/>
      <c r="P68" s="727"/>
      <c r="Q68" s="739"/>
    </row>
    <row r="69" spans="1:17" ht="16.5" customHeight="1">
      <c r="A69" s="713">
        <f t="shared" si="3"/>
        <v>64</v>
      </c>
      <c r="B69" s="296" t="s">
        <v>587</v>
      </c>
      <c r="C69" s="728">
        <v>41871</v>
      </c>
      <c r="D69" s="728" t="s">
        <v>637</v>
      </c>
      <c r="E69" s="910">
        <v>45.5</v>
      </c>
      <c r="F69" s="911">
        <v>41.5</v>
      </c>
      <c r="G69" s="911">
        <v>25</v>
      </c>
      <c r="H69" s="832">
        <f t="shared" si="4"/>
        <v>1.24</v>
      </c>
      <c r="I69" s="714">
        <v>350</v>
      </c>
      <c r="J69" s="714">
        <f t="shared" si="0"/>
        <v>434</v>
      </c>
      <c r="K69" s="714">
        <f t="shared" si="6"/>
        <v>10122.075361587913</v>
      </c>
      <c r="L69" s="629"/>
      <c r="M69" s="444"/>
      <c r="N69" s="737"/>
      <c r="O69" s="770"/>
      <c r="P69" s="727"/>
      <c r="Q69" s="739"/>
    </row>
    <row r="70" spans="1:17" ht="16.5" customHeight="1">
      <c r="A70" s="713">
        <f t="shared" si="3"/>
        <v>65</v>
      </c>
      <c r="B70" s="296" t="s">
        <v>638</v>
      </c>
      <c r="C70" s="728">
        <v>41871</v>
      </c>
      <c r="D70" s="728" t="s">
        <v>639</v>
      </c>
      <c r="E70" s="910">
        <v>47</v>
      </c>
      <c r="F70" s="911">
        <v>35.5</v>
      </c>
      <c r="G70" s="911">
        <v>25</v>
      </c>
      <c r="H70" s="832">
        <f t="shared" si="4"/>
        <v>1.08</v>
      </c>
      <c r="I70" s="714">
        <v>500</v>
      </c>
      <c r="J70" s="714">
        <f t="shared" ref="J70:J133" si="7">H70*I70</f>
        <v>540</v>
      </c>
      <c r="K70" s="714">
        <f t="shared" ref="K70:K101" si="8">H70*$Q$35</f>
        <v>8816.0011213830221</v>
      </c>
      <c r="L70" s="629"/>
      <c r="M70" s="444"/>
      <c r="N70" s="737"/>
      <c r="O70" s="770"/>
      <c r="P70" s="727"/>
      <c r="Q70" s="739"/>
    </row>
    <row r="71" spans="1:17" ht="16.5" customHeight="1">
      <c r="A71" s="713">
        <f t="shared" ref="A71:A134" si="9">IF(B71&lt;&gt;"",A70+1,"")</f>
        <v>66</v>
      </c>
      <c r="B71" s="296" t="s">
        <v>640</v>
      </c>
      <c r="C71" s="728">
        <v>41871</v>
      </c>
      <c r="D71" s="728" t="s">
        <v>641</v>
      </c>
      <c r="E71" s="910">
        <v>22</v>
      </c>
      <c r="F71" s="911">
        <v>22</v>
      </c>
      <c r="G71" s="911">
        <v>29.5</v>
      </c>
      <c r="H71" s="832">
        <f t="shared" ref="H71:H134" si="10">IF(G71&lt;&gt;"",ROUND(((E71+F71)*2+5)*(F71+G71+3)/10000,2),ROUND(E71*F71/10000,2))</f>
        <v>0.51</v>
      </c>
      <c r="I71" s="714">
        <v>550</v>
      </c>
      <c r="J71" s="714">
        <f t="shared" si="7"/>
        <v>280.5</v>
      </c>
      <c r="K71" s="714">
        <f t="shared" si="8"/>
        <v>4163.1116406530937</v>
      </c>
      <c r="L71" s="629"/>
      <c r="M71" s="444"/>
      <c r="N71" s="737"/>
      <c r="O71" s="770"/>
      <c r="P71" s="727"/>
      <c r="Q71" s="739"/>
    </row>
    <row r="72" spans="1:17" ht="16.5" customHeight="1">
      <c r="A72" s="713">
        <f t="shared" si="9"/>
        <v>67</v>
      </c>
      <c r="B72" s="296" t="s">
        <v>484</v>
      </c>
      <c r="C72" s="728">
        <v>41872</v>
      </c>
      <c r="D72" s="728" t="s">
        <v>643</v>
      </c>
      <c r="E72" s="910">
        <v>49.5</v>
      </c>
      <c r="F72" s="911">
        <v>38.5</v>
      </c>
      <c r="G72" s="911">
        <v>32.5</v>
      </c>
      <c r="H72" s="832">
        <f t="shared" si="10"/>
        <v>1.34</v>
      </c>
      <c r="I72" s="714">
        <v>196</v>
      </c>
      <c r="J72" s="714">
        <f t="shared" si="7"/>
        <v>262.64000000000004</v>
      </c>
      <c r="K72" s="714">
        <f t="shared" si="8"/>
        <v>10938.371761715971</v>
      </c>
      <c r="L72" s="629"/>
      <c r="M72" s="444"/>
      <c r="N72" s="737"/>
      <c r="O72" s="770"/>
      <c r="P72" s="727"/>
      <c r="Q72" s="739"/>
    </row>
    <row r="73" spans="1:17" ht="16.5" customHeight="1">
      <c r="A73" s="713">
        <f t="shared" si="9"/>
        <v>68</v>
      </c>
      <c r="B73" s="296" t="s">
        <v>569</v>
      </c>
      <c r="C73" s="728">
        <v>41872</v>
      </c>
      <c r="D73" s="728" t="s">
        <v>643</v>
      </c>
      <c r="E73" s="910">
        <v>35</v>
      </c>
      <c r="F73" s="911">
        <v>35</v>
      </c>
      <c r="G73" s="911">
        <v>29</v>
      </c>
      <c r="H73" s="832">
        <f t="shared" si="10"/>
        <v>0.97</v>
      </c>
      <c r="I73" s="714">
        <v>200</v>
      </c>
      <c r="J73" s="714">
        <f t="shared" si="7"/>
        <v>194</v>
      </c>
      <c r="K73" s="714">
        <f t="shared" si="8"/>
        <v>7918.0750812421575</v>
      </c>
      <c r="L73" s="629"/>
      <c r="M73" s="444"/>
      <c r="N73" s="737"/>
      <c r="O73" s="770"/>
      <c r="P73" s="727"/>
      <c r="Q73" s="739"/>
    </row>
    <row r="74" spans="1:17" ht="16.5" customHeight="1">
      <c r="A74" s="713">
        <f t="shared" si="9"/>
        <v>69</v>
      </c>
      <c r="B74" s="296" t="s">
        <v>467</v>
      </c>
      <c r="C74" s="728">
        <v>41873</v>
      </c>
      <c r="D74" s="728" t="s">
        <v>644</v>
      </c>
      <c r="E74" s="910">
        <v>29.5</v>
      </c>
      <c r="F74" s="911">
        <v>24</v>
      </c>
      <c r="G74" s="911">
        <v>19</v>
      </c>
      <c r="H74" s="832">
        <f t="shared" si="10"/>
        <v>0.52</v>
      </c>
      <c r="I74" s="714">
        <v>1480</v>
      </c>
      <c r="J74" s="714">
        <f t="shared" si="7"/>
        <v>769.6</v>
      </c>
      <c r="K74" s="714">
        <f t="shared" si="8"/>
        <v>4244.7412806658995</v>
      </c>
      <c r="L74" s="629"/>
      <c r="M74" s="444"/>
      <c r="N74" s="737"/>
      <c r="O74" s="770"/>
      <c r="P74" s="727"/>
      <c r="Q74" s="739"/>
    </row>
    <row r="75" spans="1:17" ht="16.5" customHeight="1">
      <c r="A75" s="713">
        <f t="shared" si="9"/>
        <v>70</v>
      </c>
      <c r="B75" s="296" t="s">
        <v>645</v>
      </c>
      <c r="C75" s="728">
        <v>41873</v>
      </c>
      <c r="D75" s="728" t="s">
        <v>646</v>
      </c>
      <c r="E75" s="910">
        <v>145</v>
      </c>
      <c r="F75" s="911">
        <v>199</v>
      </c>
      <c r="G75" s="911"/>
      <c r="H75" s="832">
        <f t="shared" si="10"/>
        <v>2.89</v>
      </c>
      <c r="I75" s="714">
        <v>498</v>
      </c>
      <c r="J75" s="714">
        <f t="shared" si="7"/>
        <v>1439.22</v>
      </c>
      <c r="K75" s="714">
        <f t="shared" si="8"/>
        <v>23590.965963700863</v>
      </c>
      <c r="L75" s="629"/>
      <c r="M75" s="444"/>
      <c r="N75" s="737"/>
      <c r="O75" s="770"/>
      <c r="P75" s="727"/>
      <c r="Q75" s="739"/>
    </row>
    <row r="76" spans="1:17" ht="16.5" customHeight="1">
      <c r="A76" s="713">
        <f t="shared" si="9"/>
        <v>71</v>
      </c>
      <c r="B76" s="296" t="s">
        <v>648</v>
      </c>
      <c r="C76" s="728">
        <v>41873</v>
      </c>
      <c r="D76" s="728" t="s">
        <v>646</v>
      </c>
      <c r="E76" s="910">
        <v>135</v>
      </c>
      <c r="F76" s="911">
        <v>206</v>
      </c>
      <c r="G76" s="911"/>
      <c r="H76" s="832">
        <f t="shared" si="10"/>
        <v>2.78</v>
      </c>
      <c r="I76" s="714">
        <v>690</v>
      </c>
      <c r="J76" s="714">
        <f t="shared" si="7"/>
        <v>1918.1999999999998</v>
      </c>
      <c r="K76" s="714">
        <f t="shared" si="8"/>
        <v>22693.039923559998</v>
      </c>
      <c r="L76" s="629"/>
      <c r="M76" s="444"/>
      <c r="N76" s="737"/>
      <c r="O76" s="770"/>
      <c r="P76" s="727"/>
      <c r="Q76" s="739"/>
    </row>
    <row r="77" spans="1:17" ht="16.5" customHeight="1">
      <c r="A77" s="713">
        <f t="shared" si="9"/>
        <v>72</v>
      </c>
      <c r="B77" s="296" t="s">
        <v>648</v>
      </c>
      <c r="C77" s="728">
        <v>41873</v>
      </c>
      <c r="D77" s="728" t="s">
        <v>646</v>
      </c>
      <c r="E77" s="910">
        <v>135</v>
      </c>
      <c r="F77" s="911">
        <v>206</v>
      </c>
      <c r="G77" s="911"/>
      <c r="H77" s="832">
        <f t="shared" si="10"/>
        <v>2.78</v>
      </c>
      <c r="I77" s="714">
        <v>130</v>
      </c>
      <c r="J77" s="714">
        <f t="shared" si="7"/>
        <v>361.4</v>
      </c>
      <c r="K77" s="714">
        <f t="shared" si="8"/>
        <v>22693.039923559998</v>
      </c>
      <c r="L77" s="629"/>
      <c r="M77" s="444"/>
      <c r="N77" s="737"/>
      <c r="O77" s="770"/>
      <c r="P77" s="727"/>
      <c r="Q77" s="739"/>
    </row>
    <row r="78" spans="1:17" ht="16.5" customHeight="1">
      <c r="A78" s="713">
        <f t="shared" si="9"/>
        <v>73</v>
      </c>
      <c r="B78" s="296" t="s">
        <v>649</v>
      </c>
      <c r="C78" s="728">
        <v>41873</v>
      </c>
      <c r="D78" s="728" t="s">
        <v>646</v>
      </c>
      <c r="E78" s="910">
        <v>85</v>
      </c>
      <c r="F78" s="911">
        <v>203</v>
      </c>
      <c r="G78" s="911"/>
      <c r="H78" s="832">
        <f t="shared" si="10"/>
        <v>1.73</v>
      </c>
      <c r="I78" s="714">
        <v>1000</v>
      </c>
      <c r="J78" s="714">
        <f t="shared" si="7"/>
        <v>1730</v>
      </c>
      <c r="K78" s="714">
        <f t="shared" si="8"/>
        <v>14121.927722215394</v>
      </c>
      <c r="L78" s="629"/>
      <c r="M78" s="444"/>
      <c r="N78" s="737"/>
      <c r="O78" s="770"/>
      <c r="P78" s="727"/>
      <c r="Q78" s="739"/>
    </row>
    <row r="79" spans="1:17" ht="16.5" customHeight="1">
      <c r="A79" s="713">
        <f t="shared" si="9"/>
        <v>74</v>
      </c>
      <c r="B79" s="296" t="s">
        <v>650</v>
      </c>
      <c r="C79" s="728">
        <v>41873</v>
      </c>
      <c r="D79" s="728" t="s">
        <v>646</v>
      </c>
      <c r="E79" s="910">
        <v>135</v>
      </c>
      <c r="F79" s="911">
        <v>207</v>
      </c>
      <c r="G79" s="911"/>
      <c r="H79" s="832">
        <f t="shared" si="10"/>
        <v>2.79</v>
      </c>
      <c r="I79" s="714">
        <v>425</v>
      </c>
      <c r="J79" s="714">
        <f t="shared" si="7"/>
        <v>1185.75</v>
      </c>
      <c r="K79" s="714">
        <f t="shared" si="8"/>
        <v>22774.669563572803</v>
      </c>
      <c r="L79" s="629"/>
      <c r="M79" s="444"/>
      <c r="N79" s="737"/>
      <c r="O79" s="770"/>
      <c r="P79" s="727"/>
      <c r="Q79" s="739"/>
    </row>
    <row r="80" spans="1:17" ht="16.5" customHeight="1">
      <c r="A80" s="713">
        <f t="shared" si="9"/>
        <v>75</v>
      </c>
      <c r="B80" s="296" t="s">
        <v>650</v>
      </c>
      <c r="C80" s="728">
        <v>41873</v>
      </c>
      <c r="D80" s="728" t="s">
        <v>646</v>
      </c>
      <c r="E80" s="910">
        <v>135</v>
      </c>
      <c r="F80" s="911">
        <v>207</v>
      </c>
      <c r="G80" s="911"/>
      <c r="H80" s="832">
        <f t="shared" si="10"/>
        <v>2.79</v>
      </c>
      <c r="I80" s="714">
        <v>322</v>
      </c>
      <c r="J80" s="714">
        <f t="shared" si="7"/>
        <v>898.38</v>
      </c>
      <c r="K80" s="714">
        <f t="shared" si="8"/>
        <v>22774.669563572803</v>
      </c>
      <c r="L80" s="629"/>
      <c r="M80" s="444"/>
      <c r="N80" s="737"/>
      <c r="O80" s="770"/>
      <c r="P80" s="727"/>
      <c r="Q80" s="739"/>
    </row>
    <row r="81" spans="1:17" ht="16.5" customHeight="1">
      <c r="A81" s="713">
        <f t="shared" si="9"/>
        <v>76</v>
      </c>
      <c r="B81" s="296" t="s">
        <v>1211</v>
      </c>
      <c r="C81" s="728">
        <v>41876</v>
      </c>
      <c r="D81" s="728" t="s">
        <v>652</v>
      </c>
      <c r="E81" s="910">
        <v>45</v>
      </c>
      <c r="F81" s="911">
        <v>37</v>
      </c>
      <c r="G81" s="911">
        <v>27.5</v>
      </c>
      <c r="H81" s="832">
        <f t="shared" si="10"/>
        <v>1.1399999999999999</v>
      </c>
      <c r="I81" s="714">
        <v>600</v>
      </c>
      <c r="J81" s="714">
        <f t="shared" si="7"/>
        <v>683.99999999999989</v>
      </c>
      <c r="K81" s="714">
        <f t="shared" si="8"/>
        <v>9305.7789614598551</v>
      </c>
      <c r="L81" s="629"/>
      <c r="M81" s="444"/>
      <c r="N81" s="737"/>
      <c r="O81" s="770"/>
      <c r="P81" s="727"/>
      <c r="Q81" s="739"/>
    </row>
    <row r="82" spans="1:17" ht="16.5" customHeight="1">
      <c r="A82" s="713">
        <f t="shared" si="9"/>
        <v>77</v>
      </c>
      <c r="B82" s="296" t="s">
        <v>446</v>
      </c>
      <c r="C82" s="728">
        <v>41876</v>
      </c>
      <c r="D82" s="728" t="s">
        <v>652</v>
      </c>
      <c r="E82" s="910">
        <v>50</v>
      </c>
      <c r="F82" s="911">
        <v>20</v>
      </c>
      <c r="G82" s="911"/>
      <c r="H82" s="832">
        <f t="shared" si="10"/>
        <v>0.1</v>
      </c>
      <c r="I82" s="714">
        <v>1200</v>
      </c>
      <c r="J82" s="714">
        <f t="shared" si="7"/>
        <v>120</v>
      </c>
      <c r="K82" s="714">
        <f t="shared" si="8"/>
        <v>816.29640012805748</v>
      </c>
      <c r="L82" s="629"/>
      <c r="M82" s="444"/>
      <c r="N82" s="737"/>
      <c r="O82" s="770"/>
      <c r="P82" s="727"/>
      <c r="Q82" s="739"/>
    </row>
    <row r="83" spans="1:17" ht="16.5" customHeight="1">
      <c r="A83" s="713">
        <f t="shared" si="9"/>
        <v>78</v>
      </c>
      <c r="B83" s="296" t="s">
        <v>653</v>
      </c>
      <c r="C83" s="728">
        <v>41876</v>
      </c>
      <c r="D83" s="728" t="s">
        <v>654</v>
      </c>
      <c r="E83" s="910">
        <v>36.5</v>
      </c>
      <c r="F83" s="911">
        <v>27.3</v>
      </c>
      <c r="G83" s="911">
        <v>25.5</v>
      </c>
      <c r="H83" s="832">
        <f t="shared" si="10"/>
        <v>0.74</v>
      </c>
      <c r="I83" s="714">
        <v>8160</v>
      </c>
      <c r="J83" s="714">
        <f t="shared" si="7"/>
        <v>6038.4</v>
      </c>
      <c r="K83" s="714">
        <f t="shared" si="8"/>
        <v>6040.5933609476251</v>
      </c>
      <c r="L83" s="629"/>
      <c r="M83" s="444"/>
      <c r="N83" s="737"/>
      <c r="O83" s="770"/>
      <c r="P83" s="727"/>
      <c r="Q83" s="739"/>
    </row>
    <row r="84" spans="1:17" ht="16.5" customHeight="1">
      <c r="A84" s="713">
        <f t="shared" si="9"/>
        <v>79</v>
      </c>
      <c r="B84" s="296" t="s">
        <v>656</v>
      </c>
      <c r="C84" s="728">
        <v>41876</v>
      </c>
      <c r="D84" s="728" t="s">
        <v>657</v>
      </c>
      <c r="E84" s="910">
        <v>49</v>
      </c>
      <c r="F84" s="911">
        <v>39</v>
      </c>
      <c r="G84" s="911">
        <v>34</v>
      </c>
      <c r="H84" s="832">
        <f t="shared" si="10"/>
        <v>1.38</v>
      </c>
      <c r="I84" s="714">
        <v>626</v>
      </c>
      <c r="J84" s="714">
        <f t="shared" si="7"/>
        <v>863.87999999999988</v>
      </c>
      <c r="K84" s="714">
        <f t="shared" si="8"/>
        <v>11264.890321767192</v>
      </c>
      <c r="L84" s="629"/>
      <c r="M84" s="444"/>
      <c r="N84" s="737"/>
      <c r="O84" s="770"/>
      <c r="P84" s="727"/>
      <c r="Q84" s="739"/>
    </row>
    <row r="85" spans="1:17" ht="16.5" customHeight="1">
      <c r="A85" s="713">
        <f t="shared" si="9"/>
        <v>80</v>
      </c>
      <c r="B85" s="296" t="s">
        <v>658</v>
      </c>
      <c r="C85" s="728">
        <v>41876</v>
      </c>
      <c r="D85" s="728" t="s">
        <v>657</v>
      </c>
      <c r="E85" s="910">
        <v>48</v>
      </c>
      <c r="F85" s="911">
        <v>30</v>
      </c>
      <c r="G85" s="911">
        <v>30</v>
      </c>
      <c r="H85" s="832">
        <f t="shared" si="10"/>
        <v>1.01</v>
      </c>
      <c r="I85" s="714">
        <v>160</v>
      </c>
      <c r="J85" s="714">
        <f t="shared" si="7"/>
        <v>161.6</v>
      </c>
      <c r="K85" s="714">
        <f t="shared" si="8"/>
        <v>8244.5936412933806</v>
      </c>
      <c r="L85" s="629"/>
      <c r="M85" s="444"/>
      <c r="N85" s="737"/>
      <c r="O85" s="770"/>
      <c r="P85" s="727"/>
      <c r="Q85" s="739"/>
    </row>
    <row r="86" spans="1:17" ht="16.5" customHeight="1">
      <c r="A86" s="713">
        <f t="shared" si="9"/>
        <v>81</v>
      </c>
      <c r="B86" s="296" t="s">
        <v>624</v>
      </c>
      <c r="C86" s="728">
        <v>41876</v>
      </c>
      <c r="D86" s="728" t="s">
        <v>657</v>
      </c>
      <c r="E86" s="910">
        <v>30</v>
      </c>
      <c r="F86" s="911">
        <v>20</v>
      </c>
      <c r="G86" s="911"/>
      <c r="H86" s="832">
        <f t="shared" si="10"/>
        <v>0.06</v>
      </c>
      <c r="I86" s="714">
        <v>1900</v>
      </c>
      <c r="J86" s="714">
        <f t="shared" si="7"/>
        <v>114</v>
      </c>
      <c r="K86" s="714">
        <f t="shared" si="8"/>
        <v>489.77784007683448</v>
      </c>
      <c r="L86" s="629"/>
      <c r="M86" s="444"/>
      <c r="N86" s="737"/>
      <c r="O86" s="770"/>
      <c r="P86" s="727"/>
      <c r="Q86" s="739"/>
    </row>
    <row r="87" spans="1:17" ht="16.5" customHeight="1">
      <c r="A87" s="713">
        <f t="shared" si="9"/>
        <v>82</v>
      </c>
      <c r="B87" s="296" t="s">
        <v>601</v>
      </c>
      <c r="C87" s="728">
        <v>41877</v>
      </c>
      <c r="D87" s="728" t="s">
        <v>659</v>
      </c>
      <c r="E87" s="910">
        <v>49</v>
      </c>
      <c r="F87" s="911">
        <v>39</v>
      </c>
      <c r="G87" s="911">
        <v>28</v>
      </c>
      <c r="H87" s="832">
        <f t="shared" si="10"/>
        <v>1.27</v>
      </c>
      <c r="I87" s="714">
        <v>612</v>
      </c>
      <c r="J87" s="714">
        <f t="shared" si="7"/>
        <v>777.24</v>
      </c>
      <c r="K87" s="714">
        <f t="shared" si="8"/>
        <v>10366.964281626329</v>
      </c>
      <c r="L87" s="629"/>
      <c r="M87" s="444"/>
      <c r="N87" s="737"/>
      <c r="O87" s="770"/>
      <c r="P87" s="727"/>
      <c r="Q87" s="739"/>
    </row>
    <row r="88" spans="1:17" ht="16.5" customHeight="1">
      <c r="A88" s="713">
        <f t="shared" si="9"/>
        <v>83</v>
      </c>
      <c r="B88" s="189" t="s">
        <v>604</v>
      </c>
      <c r="C88" s="728">
        <v>41877</v>
      </c>
      <c r="D88" s="728" t="s">
        <v>659</v>
      </c>
      <c r="E88" s="910">
        <v>49</v>
      </c>
      <c r="F88" s="911">
        <v>39</v>
      </c>
      <c r="G88" s="911">
        <v>22</v>
      </c>
      <c r="H88" s="832">
        <f t="shared" si="10"/>
        <v>1.1599999999999999</v>
      </c>
      <c r="I88" s="714">
        <v>267</v>
      </c>
      <c r="J88" s="714">
        <f t="shared" si="7"/>
        <v>309.71999999999997</v>
      </c>
      <c r="K88" s="714">
        <f t="shared" si="8"/>
        <v>9469.0382414854666</v>
      </c>
      <c r="L88" s="629"/>
      <c r="M88" s="444"/>
      <c r="N88" s="737"/>
      <c r="O88" s="770"/>
      <c r="P88" s="727"/>
      <c r="Q88" s="739"/>
    </row>
    <row r="89" spans="1:17" ht="16.5" customHeight="1">
      <c r="A89" s="713">
        <f t="shared" si="9"/>
        <v>84</v>
      </c>
      <c r="B89" s="296" t="s">
        <v>601</v>
      </c>
      <c r="C89" s="728">
        <v>41877</v>
      </c>
      <c r="D89" s="728" t="s">
        <v>659</v>
      </c>
      <c r="E89" s="910">
        <v>49</v>
      </c>
      <c r="F89" s="911">
        <v>39</v>
      </c>
      <c r="G89" s="911">
        <v>28</v>
      </c>
      <c r="H89" s="832">
        <f t="shared" si="10"/>
        <v>1.27</v>
      </c>
      <c r="I89" s="714">
        <v>77</v>
      </c>
      <c r="J89" s="714">
        <f t="shared" si="7"/>
        <v>97.79</v>
      </c>
      <c r="K89" s="714">
        <f t="shared" si="8"/>
        <v>10366.964281626329</v>
      </c>
      <c r="L89" s="629"/>
      <c r="M89" s="444"/>
      <c r="N89" s="737"/>
      <c r="O89" s="770"/>
      <c r="P89" s="727"/>
      <c r="Q89" s="739"/>
    </row>
    <row r="90" spans="1:17" ht="16.5" customHeight="1">
      <c r="A90" s="713">
        <f t="shared" si="9"/>
        <v>85</v>
      </c>
      <c r="B90" s="296" t="s">
        <v>624</v>
      </c>
      <c r="C90" s="728">
        <v>41877</v>
      </c>
      <c r="D90" s="728" t="s">
        <v>659</v>
      </c>
      <c r="E90" s="910">
        <v>30</v>
      </c>
      <c r="F90" s="911">
        <v>20</v>
      </c>
      <c r="G90" s="911"/>
      <c r="H90" s="832">
        <f t="shared" si="10"/>
        <v>0.06</v>
      </c>
      <c r="I90" s="714">
        <v>2400</v>
      </c>
      <c r="J90" s="714">
        <f t="shared" si="7"/>
        <v>144</v>
      </c>
      <c r="K90" s="714">
        <f t="shared" si="8"/>
        <v>489.77784007683448</v>
      </c>
      <c r="L90" s="629"/>
      <c r="M90" s="444"/>
      <c r="N90" s="737"/>
      <c r="O90" s="770"/>
      <c r="P90" s="727"/>
      <c r="Q90" s="739"/>
    </row>
    <row r="91" spans="1:17" ht="16.5" customHeight="1">
      <c r="A91" s="713">
        <f t="shared" si="9"/>
        <v>86</v>
      </c>
      <c r="B91" s="296" t="s">
        <v>516</v>
      </c>
      <c r="C91" s="728">
        <v>41878</v>
      </c>
      <c r="D91" s="728" t="s">
        <v>660</v>
      </c>
      <c r="E91" s="910">
        <v>59</v>
      </c>
      <c r="F91" s="911">
        <v>38</v>
      </c>
      <c r="G91" s="911">
        <v>17</v>
      </c>
      <c r="H91" s="832">
        <f t="shared" si="10"/>
        <v>1.1499999999999999</v>
      </c>
      <c r="I91" s="714">
        <v>981</v>
      </c>
      <c r="J91" s="714">
        <f t="shared" si="7"/>
        <v>1128.1499999999999</v>
      </c>
      <c r="K91" s="714">
        <f t="shared" si="8"/>
        <v>9387.4086014726599</v>
      </c>
      <c r="L91" s="629"/>
      <c r="M91" s="444"/>
      <c r="N91" s="737"/>
      <c r="O91" s="770"/>
      <c r="P91" s="727"/>
      <c r="Q91" s="739"/>
    </row>
    <row r="92" spans="1:17" ht="16.5" customHeight="1">
      <c r="A92" s="713">
        <f t="shared" si="9"/>
        <v>87</v>
      </c>
      <c r="B92" s="296" t="s">
        <v>1204</v>
      </c>
      <c r="C92" s="728">
        <v>41879</v>
      </c>
      <c r="D92" s="728" t="s">
        <v>661</v>
      </c>
      <c r="E92" s="910">
        <v>83</v>
      </c>
      <c r="F92" s="911">
        <v>19</v>
      </c>
      <c r="G92" s="911"/>
      <c r="H92" s="832">
        <f t="shared" si="10"/>
        <v>0.16</v>
      </c>
      <c r="I92" s="714">
        <v>1200</v>
      </c>
      <c r="J92" s="714">
        <f t="shared" si="7"/>
        <v>192</v>
      </c>
      <c r="K92" s="714">
        <f t="shared" si="8"/>
        <v>1306.074240204892</v>
      </c>
      <c r="L92" s="629"/>
      <c r="M92" s="444"/>
      <c r="N92" s="737"/>
      <c r="O92" s="770"/>
      <c r="P92" s="727"/>
      <c r="Q92" s="739"/>
    </row>
    <row r="93" spans="1:17" ht="16.5" customHeight="1">
      <c r="A93" s="713">
        <f t="shared" si="9"/>
        <v>88</v>
      </c>
      <c r="B93" s="296" t="s">
        <v>1205</v>
      </c>
      <c r="C93" s="728">
        <v>41879</v>
      </c>
      <c r="D93" s="728" t="s">
        <v>661</v>
      </c>
      <c r="E93" s="910">
        <v>120</v>
      </c>
      <c r="F93" s="911">
        <v>39</v>
      </c>
      <c r="G93" s="911"/>
      <c r="H93" s="832">
        <f t="shared" si="10"/>
        <v>0.47</v>
      </c>
      <c r="I93" s="714">
        <v>400</v>
      </c>
      <c r="J93" s="714">
        <f t="shared" si="7"/>
        <v>188</v>
      </c>
      <c r="K93" s="714">
        <f t="shared" si="8"/>
        <v>3836.59308060187</v>
      </c>
      <c r="L93" s="629"/>
      <c r="M93" s="444"/>
      <c r="N93" s="737"/>
      <c r="O93" s="770"/>
      <c r="P93" s="727"/>
      <c r="Q93" s="739"/>
    </row>
    <row r="94" spans="1:17" ht="16.5" customHeight="1">
      <c r="A94" s="713">
        <f t="shared" si="9"/>
        <v>89</v>
      </c>
      <c r="B94" s="296" t="s">
        <v>665</v>
      </c>
      <c r="C94" s="728">
        <v>41883</v>
      </c>
      <c r="D94" s="728" t="s">
        <v>666</v>
      </c>
      <c r="E94" s="910">
        <v>30</v>
      </c>
      <c r="F94" s="911">
        <v>30</v>
      </c>
      <c r="G94" s="911">
        <v>29.5</v>
      </c>
      <c r="H94" s="832">
        <f t="shared" si="10"/>
        <v>0.78</v>
      </c>
      <c r="I94" s="714">
        <v>509</v>
      </c>
      <c r="J94" s="714">
        <f t="shared" si="7"/>
        <v>397.02000000000004</v>
      </c>
      <c r="K94" s="714">
        <f t="shared" si="8"/>
        <v>6367.1119209988483</v>
      </c>
      <c r="L94" s="629"/>
      <c r="M94" s="444"/>
      <c r="N94" s="737"/>
      <c r="O94" s="770"/>
      <c r="P94" s="727"/>
      <c r="Q94" s="739"/>
    </row>
    <row r="95" spans="1:17" ht="16.5" customHeight="1">
      <c r="A95" s="713">
        <f t="shared" si="9"/>
        <v>90</v>
      </c>
      <c r="B95" s="296" t="s">
        <v>667</v>
      </c>
      <c r="C95" s="728">
        <v>41883</v>
      </c>
      <c r="D95" s="728" t="s">
        <v>666</v>
      </c>
      <c r="E95" s="910">
        <v>29</v>
      </c>
      <c r="F95" s="911">
        <v>29</v>
      </c>
      <c r="G95" s="911">
        <v>29.5</v>
      </c>
      <c r="H95" s="832">
        <f t="shared" si="10"/>
        <v>0.74</v>
      </c>
      <c r="I95" s="714">
        <v>210</v>
      </c>
      <c r="J95" s="714">
        <f t="shared" si="7"/>
        <v>155.4</v>
      </c>
      <c r="K95" s="714">
        <f t="shared" si="8"/>
        <v>6040.5933609476251</v>
      </c>
      <c r="L95" s="629"/>
      <c r="M95" s="444"/>
      <c r="N95" s="737"/>
      <c r="O95" s="770"/>
      <c r="P95" s="727"/>
      <c r="Q95" s="739"/>
    </row>
    <row r="96" spans="1:17" ht="16.5" customHeight="1">
      <c r="A96" s="713">
        <f t="shared" si="9"/>
        <v>91</v>
      </c>
      <c r="B96" s="296" t="s">
        <v>601</v>
      </c>
      <c r="C96" s="728">
        <v>41883</v>
      </c>
      <c r="D96" s="728" t="s">
        <v>668</v>
      </c>
      <c r="E96" s="910">
        <v>49</v>
      </c>
      <c r="F96" s="911">
        <v>39</v>
      </c>
      <c r="G96" s="911">
        <v>28</v>
      </c>
      <c r="H96" s="832">
        <f t="shared" si="10"/>
        <v>1.27</v>
      </c>
      <c r="I96" s="714">
        <v>1116</v>
      </c>
      <c r="J96" s="714">
        <f t="shared" si="7"/>
        <v>1417.32</v>
      </c>
      <c r="K96" s="714">
        <f t="shared" si="8"/>
        <v>10366.964281626329</v>
      </c>
      <c r="L96" s="629"/>
      <c r="M96" s="444"/>
      <c r="N96" s="737"/>
      <c r="O96" s="770"/>
      <c r="P96" s="727"/>
      <c r="Q96" s="739"/>
    </row>
    <row r="97" spans="1:17" ht="16.5" customHeight="1">
      <c r="A97" s="713">
        <f t="shared" si="9"/>
        <v>92</v>
      </c>
      <c r="B97" s="296" t="s">
        <v>663</v>
      </c>
      <c r="C97" s="728">
        <v>41883</v>
      </c>
      <c r="D97" s="728" t="s">
        <v>668</v>
      </c>
      <c r="E97" s="910">
        <v>39</v>
      </c>
      <c r="F97" s="911">
        <v>25</v>
      </c>
      <c r="G97" s="911">
        <v>44</v>
      </c>
      <c r="H97" s="832">
        <f t="shared" si="10"/>
        <v>0.96</v>
      </c>
      <c r="I97" s="714">
        <v>1273</v>
      </c>
      <c r="J97" s="714">
        <f t="shared" si="7"/>
        <v>1222.08</v>
      </c>
      <c r="K97" s="714">
        <f t="shared" si="8"/>
        <v>7836.4454412293517</v>
      </c>
      <c r="L97" s="629"/>
      <c r="M97" s="444"/>
      <c r="N97" s="737"/>
      <c r="O97" s="770"/>
      <c r="P97" s="727"/>
      <c r="Q97" s="739"/>
    </row>
    <row r="98" spans="1:17" ht="16.5" customHeight="1">
      <c r="A98" s="713">
        <f t="shared" si="9"/>
        <v>93</v>
      </c>
      <c r="B98" s="296" t="s">
        <v>604</v>
      </c>
      <c r="C98" s="728">
        <v>41883</v>
      </c>
      <c r="D98" s="728" t="s">
        <v>668</v>
      </c>
      <c r="E98" s="910">
        <v>49</v>
      </c>
      <c r="F98" s="911">
        <v>39</v>
      </c>
      <c r="G98" s="911">
        <v>22</v>
      </c>
      <c r="H98" s="832">
        <f t="shared" si="10"/>
        <v>1.1599999999999999</v>
      </c>
      <c r="I98" s="714">
        <v>373</v>
      </c>
      <c r="J98" s="714">
        <f t="shared" si="7"/>
        <v>432.67999999999995</v>
      </c>
      <c r="K98" s="714">
        <f t="shared" si="8"/>
        <v>9469.0382414854666</v>
      </c>
      <c r="L98" s="629"/>
      <c r="M98" s="444"/>
      <c r="N98" s="737"/>
      <c r="O98" s="770"/>
      <c r="P98" s="727"/>
      <c r="Q98" s="739"/>
    </row>
    <row r="99" spans="1:17" ht="16.5" customHeight="1">
      <c r="A99" s="713">
        <f t="shared" si="9"/>
        <v>94</v>
      </c>
      <c r="B99" s="296" t="s">
        <v>664</v>
      </c>
      <c r="C99" s="728">
        <v>41883</v>
      </c>
      <c r="D99" s="728" t="s">
        <v>668</v>
      </c>
      <c r="E99" s="910">
        <v>48</v>
      </c>
      <c r="F99" s="911">
        <v>38</v>
      </c>
      <c r="G99" s="911">
        <v>34</v>
      </c>
      <c r="H99" s="832">
        <f t="shared" si="10"/>
        <v>1.33</v>
      </c>
      <c r="I99" s="714">
        <v>176</v>
      </c>
      <c r="J99" s="714">
        <f t="shared" si="7"/>
        <v>234.08</v>
      </c>
      <c r="K99" s="714">
        <f t="shared" si="8"/>
        <v>10856.742121703164</v>
      </c>
      <c r="L99" s="629"/>
      <c r="M99" s="444"/>
      <c r="N99" s="737"/>
      <c r="O99" s="770"/>
      <c r="P99" s="727"/>
      <c r="Q99" s="739"/>
    </row>
    <row r="100" spans="1:17" ht="16.5" customHeight="1">
      <c r="A100" s="713">
        <f t="shared" si="9"/>
        <v>95</v>
      </c>
      <c r="B100" s="296" t="s">
        <v>624</v>
      </c>
      <c r="C100" s="728">
        <v>41883</v>
      </c>
      <c r="D100" s="728" t="s">
        <v>668</v>
      </c>
      <c r="E100" s="910">
        <v>30</v>
      </c>
      <c r="F100" s="911">
        <v>20</v>
      </c>
      <c r="G100" s="911"/>
      <c r="H100" s="832">
        <f t="shared" si="10"/>
        <v>0.06</v>
      </c>
      <c r="I100" s="714">
        <v>4500</v>
      </c>
      <c r="J100" s="714">
        <f t="shared" si="7"/>
        <v>270</v>
      </c>
      <c r="K100" s="714">
        <f t="shared" si="8"/>
        <v>489.77784007683448</v>
      </c>
      <c r="L100" s="629"/>
      <c r="M100" s="444"/>
      <c r="N100" s="737"/>
      <c r="O100" s="770"/>
      <c r="P100" s="727"/>
      <c r="Q100" s="739"/>
    </row>
    <row r="101" spans="1:17" ht="16.5" customHeight="1">
      <c r="A101" s="713">
        <f t="shared" si="9"/>
        <v>96</v>
      </c>
      <c r="B101" s="296" t="s">
        <v>669</v>
      </c>
      <c r="C101" s="728">
        <v>41883</v>
      </c>
      <c r="D101" s="728" t="s">
        <v>670</v>
      </c>
      <c r="E101" s="910">
        <v>37.5</v>
      </c>
      <c r="F101" s="911">
        <v>26.5</v>
      </c>
      <c r="G101" s="911">
        <v>22</v>
      </c>
      <c r="H101" s="832">
        <f t="shared" si="10"/>
        <v>0.68</v>
      </c>
      <c r="I101" s="714">
        <v>500</v>
      </c>
      <c r="J101" s="714">
        <f t="shared" si="7"/>
        <v>340</v>
      </c>
      <c r="K101" s="714">
        <f t="shared" si="8"/>
        <v>5550.8155208707913</v>
      </c>
      <c r="L101" s="629"/>
      <c r="M101" s="444"/>
      <c r="N101" s="737"/>
      <c r="O101" s="770"/>
      <c r="P101" s="727"/>
      <c r="Q101" s="739"/>
    </row>
    <row r="102" spans="1:17" ht="16.5" customHeight="1">
      <c r="A102" s="713">
        <f t="shared" si="9"/>
        <v>97</v>
      </c>
      <c r="B102" s="296" t="s">
        <v>671</v>
      </c>
      <c r="C102" s="728">
        <v>41886</v>
      </c>
      <c r="D102" s="728" t="s">
        <v>672</v>
      </c>
      <c r="E102" s="910">
        <v>43</v>
      </c>
      <c r="F102" s="911">
        <v>31</v>
      </c>
      <c r="G102" s="911">
        <v>25</v>
      </c>
      <c r="H102" s="832">
        <f t="shared" si="10"/>
        <v>0.9</v>
      </c>
      <c r="I102" s="714">
        <v>711</v>
      </c>
      <c r="J102" s="714">
        <f t="shared" si="7"/>
        <v>639.9</v>
      </c>
      <c r="K102" s="714">
        <f t="shared" ref="K102:K133" si="11">H102*$Q$35</f>
        <v>7346.6676011525178</v>
      </c>
      <c r="L102" s="629"/>
      <c r="M102" s="444"/>
      <c r="N102" s="737"/>
      <c r="O102" s="770"/>
      <c r="P102" s="727"/>
      <c r="Q102" s="739"/>
    </row>
    <row r="103" spans="1:17" ht="16.5" customHeight="1">
      <c r="A103" s="713">
        <f t="shared" si="9"/>
        <v>98</v>
      </c>
      <c r="B103" s="296" t="s">
        <v>484</v>
      </c>
      <c r="C103" s="728">
        <v>41886</v>
      </c>
      <c r="D103" s="728" t="s">
        <v>674</v>
      </c>
      <c r="E103" s="910">
        <v>49.5</v>
      </c>
      <c r="F103" s="911">
        <v>38.5</v>
      </c>
      <c r="G103" s="911">
        <v>32.5</v>
      </c>
      <c r="H103" s="832">
        <f t="shared" si="10"/>
        <v>1.34</v>
      </c>
      <c r="I103" s="714">
        <v>197</v>
      </c>
      <c r="J103" s="714">
        <f t="shared" si="7"/>
        <v>263.98</v>
      </c>
      <c r="K103" s="714">
        <f t="shared" si="11"/>
        <v>10938.371761715971</v>
      </c>
      <c r="L103" s="629"/>
      <c r="M103" s="444"/>
      <c r="N103" s="737"/>
      <c r="O103" s="770"/>
      <c r="P103" s="727"/>
      <c r="Q103" s="739"/>
    </row>
    <row r="104" spans="1:17" ht="16.5" customHeight="1">
      <c r="A104" s="713">
        <f t="shared" si="9"/>
        <v>99</v>
      </c>
      <c r="B104" s="296" t="s">
        <v>487</v>
      </c>
      <c r="C104" s="728">
        <v>41886</v>
      </c>
      <c r="D104" s="728" t="s">
        <v>674</v>
      </c>
      <c r="E104" s="910">
        <v>41</v>
      </c>
      <c r="F104" s="911">
        <v>31</v>
      </c>
      <c r="G104" s="911">
        <v>25.5</v>
      </c>
      <c r="H104" s="832">
        <f t="shared" si="10"/>
        <v>0.89</v>
      </c>
      <c r="I104" s="714">
        <v>307</v>
      </c>
      <c r="J104" s="714">
        <f t="shared" si="7"/>
        <v>273.23</v>
      </c>
      <c r="K104" s="714">
        <f t="shared" si="11"/>
        <v>7265.037961139712</v>
      </c>
      <c r="L104" s="629"/>
      <c r="M104" s="444"/>
      <c r="N104" s="737"/>
      <c r="O104" s="770"/>
      <c r="P104" s="727"/>
      <c r="Q104" s="739"/>
    </row>
    <row r="105" spans="1:17" ht="16.5" customHeight="1">
      <c r="A105" s="713">
        <f t="shared" si="9"/>
        <v>100</v>
      </c>
      <c r="B105" s="296" t="s">
        <v>675</v>
      </c>
      <c r="C105" s="728">
        <v>41890</v>
      </c>
      <c r="D105" s="728" t="s">
        <v>676</v>
      </c>
      <c r="E105" s="910">
        <v>50</v>
      </c>
      <c r="F105" s="911">
        <v>40</v>
      </c>
      <c r="G105" s="911">
        <v>55</v>
      </c>
      <c r="H105" s="832">
        <f t="shared" si="10"/>
        <v>1.81</v>
      </c>
      <c r="I105" s="714">
        <v>860</v>
      </c>
      <c r="J105" s="714">
        <f t="shared" si="7"/>
        <v>1556.6000000000001</v>
      </c>
      <c r="K105" s="714">
        <f t="shared" si="11"/>
        <v>14774.964842317841</v>
      </c>
      <c r="L105" s="629"/>
      <c r="M105" s="444"/>
      <c r="N105" s="737"/>
      <c r="O105" s="770"/>
      <c r="P105" s="727"/>
      <c r="Q105" s="739"/>
    </row>
    <row r="106" spans="1:17" ht="16.5" customHeight="1">
      <c r="A106" s="713">
        <f t="shared" si="9"/>
        <v>101</v>
      </c>
      <c r="B106" s="296" t="s">
        <v>664</v>
      </c>
      <c r="C106" s="728">
        <v>41890</v>
      </c>
      <c r="D106" s="728" t="s">
        <v>677</v>
      </c>
      <c r="E106" s="910">
        <v>48</v>
      </c>
      <c r="F106" s="911">
        <v>38</v>
      </c>
      <c r="G106" s="911">
        <v>34</v>
      </c>
      <c r="H106" s="832">
        <f t="shared" si="10"/>
        <v>1.33</v>
      </c>
      <c r="I106" s="714">
        <v>2153</v>
      </c>
      <c r="J106" s="714">
        <f t="shared" si="7"/>
        <v>2863.4900000000002</v>
      </c>
      <c r="K106" s="714">
        <f t="shared" si="11"/>
        <v>10856.742121703164</v>
      </c>
      <c r="L106" s="629"/>
      <c r="M106" s="444"/>
      <c r="N106" s="737"/>
      <c r="O106" s="770"/>
      <c r="P106" s="727"/>
      <c r="Q106" s="739"/>
    </row>
    <row r="107" spans="1:17" ht="16.5" customHeight="1">
      <c r="A107" s="713">
        <f t="shared" si="9"/>
        <v>102</v>
      </c>
      <c r="B107" s="296" t="s">
        <v>624</v>
      </c>
      <c r="C107" s="728">
        <v>41890</v>
      </c>
      <c r="D107" s="728" t="s">
        <v>677</v>
      </c>
      <c r="E107" s="910">
        <v>30</v>
      </c>
      <c r="F107" s="911">
        <v>20</v>
      </c>
      <c r="G107" s="911"/>
      <c r="H107" s="832">
        <f t="shared" si="10"/>
        <v>0.06</v>
      </c>
      <c r="I107" s="714">
        <v>2000</v>
      </c>
      <c r="J107" s="714">
        <f t="shared" si="7"/>
        <v>120</v>
      </c>
      <c r="K107" s="714">
        <f t="shared" si="11"/>
        <v>489.77784007683448</v>
      </c>
      <c r="L107" s="629"/>
      <c r="M107" s="444"/>
      <c r="N107" s="737"/>
      <c r="O107" s="770"/>
      <c r="P107" s="727"/>
      <c r="Q107" s="739"/>
    </row>
    <row r="108" spans="1:17" ht="16.5" customHeight="1">
      <c r="A108" s="713">
        <f t="shared" si="9"/>
        <v>103</v>
      </c>
      <c r="B108" s="296" t="s">
        <v>1162</v>
      </c>
      <c r="C108" s="728">
        <v>41890</v>
      </c>
      <c r="D108" s="728" t="s">
        <v>678</v>
      </c>
      <c r="E108" s="910">
        <v>50</v>
      </c>
      <c r="F108" s="911">
        <v>20</v>
      </c>
      <c r="G108" s="911"/>
      <c r="H108" s="832">
        <f>IF(G108&lt;&gt;"",ROUND(((E108+F108)*2+5)*(F108+G108+3)/10000,2),ROUND(E108*F108/10000,2))</f>
        <v>0.1</v>
      </c>
      <c r="I108" s="714">
        <v>1000</v>
      </c>
      <c r="J108" s="714">
        <f t="shared" si="7"/>
        <v>100</v>
      </c>
      <c r="K108" s="714">
        <f t="shared" si="11"/>
        <v>816.29640012805748</v>
      </c>
      <c r="L108" s="629"/>
      <c r="M108" s="444"/>
      <c r="N108" s="737"/>
      <c r="O108" s="770"/>
      <c r="P108" s="727"/>
      <c r="Q108" s="739"/>
    </row>
    <row r="109" spans="1:17" ht="16.5" customHeight="1">
      <c r="A109" s="713">
        <f t="shared" si="9"/>
        <v>104</v>
      </c>
      <c r="B109" s="296" t="s">
        <v>594</v>
      </c>
      <c r="C109" s="728">
        <v>41894</v>
      </c>
      <c r="D109" s="728" t="s">
        <v>680</v>
      </c>
      <c r="E109" s="910">
        <v>55</v>
      </c>
      <c r="F109" s="911">
        <v>55</v>
      </c>
      <c r="G109" s="911">
        <v>75</v>
      </c>
      <c r="H109" s="832">
        <f t="shared" si="10"/>
        <v>2.99</v>
      </c>
      <c r="I109" s="714">
        <v>210</v>
      </c>
      <c r="J109" s="714">
        <f t="shared" si="7"/>
        <v>627.90000000000009</v>
      </c>
      <c r="K109" s="714">
        <f t="shared" si="11"/>
        <v>24407.262363828919</v>
      </c>
      <c r="L109" s="629"/>
      <c r="M109" s="444"/>
      <c r="N109" s="737"/>
      <c r="O109" s="770"/>
      <c r="P109" s="727"/>
      <c r="Q109" s="739"/>
    </row>
    <row r="110" spans="1:17" ht="16.5" customHeight="1">
      <c r="A110" s="713">
        <f t="shared" si="9"/>
        <v>105</v>
      </c>
      <c r="B110" s="296" t="s">
        <v>1211</v>
      </c>
      <c r="C110" s="728">
        <v>41895</v>
      </c>
      <c r="D110" s="728" t="s">
        <v>681</v>
      </c>
      <c r="E110" s="910">
        <v>45</v>
      </c>
      <c r="F110" s="911">
        <v>37</v>
      </c>
      <c r="G110" s="911">
        <v>27.5</v>
      </c>
      <c r="H110" s="832">
        <f t="shared" si="10"/>
        <v>1.1399999999999999</v>
      </c>
      <c r="I110" s="714">
        <v>200</v>
      </c>
      <c r="J110" s="714">
        <f t="shared" si="7"/>
        <v>227.99999999999997</v>
      </c>
      <c r="K110" s="714">
        <f t="shared" si="11"/>
        <v>9305.7789614598551</v>
      </c>
      <c r="L110" s="629"/>
      <c r="M110" s="444"/>
      <c r="N110" s="737"/>
      <c r="O110" s="770"/>
      <c r="P110" s="727"/>
      <c r="Q110" s="739"/>
    </row>
    <row r="111" spans="1:17" ht="16.5" customHeight="1">
      <c r="A111" s="713">
        <f t="shared" si="9"/>
        <v>106</v>
      </c>
      <c r="B111" s="296" t="s">
        <v>1211</v>
      </c>
      <c r="C111" s="728">
        <v>41895</v>
      </c>
      <c r="D111" s="728" t="s">
        <v>681</v>
      </c>
      <c r="E111" s="910">
        <v>45</v>
      </c>
      <c r="F111" s="911">
        <v>37</v>
      </c>
      <c r="G111" s="911">
        <v>27.5</v>
      </c>
      <c r="H111" s="832">
        <f t="shared" si="10"/>
        <v>1.1399999999999999</v>
      </c>
      <c r="I111" s="714">
        <v>989</v>
      </c>
      <c r="J111" s="714">
        <f t="shared" si="7"/>
        <v>1127.4599999999998</v>
      </c>
      <c r="K111" s="714">
        <f t="shared" si="11"/>
        <v>9305.7789614598551</v>
      </c>
      <c r="L111" s="629"/>
      <c r="M111" s="444"/>
      <c r="N111" s="737"/>
      <c r="O111" s="770"/>
      <c r="P111" s="727"/>
      <c r="Q111" s="739"/>
    </row>
    <row r="112" spans="1:17" ht="16.5" customHeight="1">
      <c r="A112" s="713">
        <f t="shared" si="9"/>
        <v>107</v>
      </c>
      <c r="B112" s="296" t="s">
        <v>446</v>
      </c>
      <c r="C112" s="728">
        <v>41895</v>
      </c>
      <c r="D112" s="728" t="s">
        <v>681</v>
      </c>
      <c r="E112" s="910">
        <v>50</v>
      </c>
      <c r="F112" s="911">
        <v>20</v>
      </c>
      <c r="G112" s="911"/>
      <c r="H112" s="832">
        <f>IF(G112&lt;&gt;"",ROUND(((E112+F112)*2+5)*(F112+G112+3)/10000,2),ROUND(E112*F112/10000,2))</f>
        <v>0.1</v>
      </c>
      <c r="I112" s="714">
        <v>2400</v>
      </c>
      <c r="J112" s="714">
        <f t="shared" si="7"/>
        <v>240</v>
      </c>
      <c r="K112" s="714">
        <f t="shared" si="11"/>
        <v>816.29640012805748</v>
      </c>
      <c r="L112" s="629"/>
      <c r="M112" s="444"/>
      <c r="N112" s="737"/>
      <c r="O112" s="770"/>
      <c r="P112" s="727"/>
      <c r="Q112" s="739"/>
    </row>
    <row r="113" spans="1:17" ht="16.5" customHeight="1">
      <c r="A113" s="713">
        <f t="shared" si="9"/>
        <v>108</v>
      </c>
      <c r="B113" s="296" t="s">
        <v>437</v>
      </c>
      <c r="C113" s="728">
        <v>41897</v>
      </c>
      <c r="D113" s="728" t="s">
        <v>682</v>
      </c>
      <c r="E113" s="910">
        <v>49</v>
      </c>
      <c r="F113" s="911">
        <v>38</v>
      </c>
      <c r="G113" s="911">
        <v>12</v>
      </c>
      <c r="H113" s="832">
        <f t="shared" si="10"/>
        <v>0.95</v>
      </c>
      <c r="I113" s="714">
        <v>495</v>
      </c>
      <c r="J113" s="714">
        <f t="shared" si="7"/>
        <v>470.25</v>
      </c>
      <c r="K113" s="714">
        <f t="shared" si="11"/>
        <v>7754.8158012165459</v>
      </c>
      <c r="L113" s="629"/>
      <c r="M113" s="444"/>
      <c r="N113" s="737"/>
      <c r="O113" s="770"/>
      <c r="P113" s="727"/>
      <c r="Q113" s="739"/>
    </row>
    <row r="114" spans="1:17" ht="16.5" customHeight="1">
      <c r="A114" s="713">
        <f t="shared" si="9"/>
        <v>109</v>
      </c>
      <c r="B114" s="296" t="s">
        <v>683</v>
      </c>
      <c r="C114" s="728">
        <v>41898</v>
      </c>
      <c r="D114" s="728" t="s">
        <v>684</v>
      </c>
      <c r="E114" s="910">
        <v>86</v>
      </c>
      <c r="F114" s="911">
        <v>64</v>
      </c>
      <c r="G114" s="911">
        <v>33</v>
      </c>
      <c r="H114" s="832">
        <f t="shared" si="10"/>
        <v>3.05</v>
      </c>
      <c r="I114" s="714">
        <v>451</v>
      </c>
      <c r="J114" s="714">
        <f t="shared" si="7"/>
        <v>1375.55</v>
      </c>
      <c r="K114" s="714">
        <f t="shared" si="11"/>
        <v>24897.040203905752</v>
      </c>
      <c r="L114" s="629"/>
      <c r="M114" s="444"/>
      <c r="N114" s="737"/>
      <c r="O114" s="770"/>
      <c r="P114" s="727"/>
      <c r="Q114" s="739"/>
    </row>
    <row r="115" spans="1:17" ht="16.5" customHeight="1">
      <c r="A115" s="713">
        <f t="shared" si="9"/>
        <v>110</v>
      </c>
      <c r="B115" s="296" t="s">
        <v>747</v>
      </c>
      <c r="C115" s="728">
        <v>41898</v>
      </c>
      <c r="D115" s="728" t="s">
        <v>684</v>
      </c>
      <c r="E115" s="910">
        <v>60</v>
      </c>
      <c r="F115" s="911">
        <v>25</v>
      </c>
      <c r="G115" s="911"/>
      <c r="H115" s="832">
        <f t="shared" si="10"/>
        <v>0.15</v>
      </c>
      <c r="I115" s="714">
        <v>902</v>
      </c>
      <c r="J115" s="714">
        <f t="shared" si="7"/>
        <v>135.29999999999998</v>
      </c>
      <c r="K115" s="714">
        <f t="shared" si="11"/>
        <v>1224.4446001920862</v>
      </c>
      <c r="L115" s="629"/>
      <c r="M115" s="444"/>
      <c r="N115" s="737"/>
      <c r="O115" s="770"/>
      <c r="P115" s="727"/>
      <c r="Q115" s="739"/>
    </row>
    <row r="116" spans="1:17" ht="16.5" customHeight="1">
      <c r="A116" s="713">
        <f t="shared" si="9"/>
        <v>111</v>
      </c>
      <c r="B116" s="296" t="s">
        <v>664</v>
      </c>
      <c r="C116" s="728">
        <v>41898</v>
      </c>
      <c r="D116" s="728" t="s">
        <v>686</v>
      </c>
      <c r="E116" s="910">
        <v>48</v>
      </c>
      <c r="F116" s="911">
        <v>38</v>
      </c>
      <c r="G116" s="911">
        <v>34</v>
      </c>
      <c r="H116" s="832">
        <f t="shared" si="10"/>
        <v>1.33</v>
      </c>
      <c r="I116" s="714">
        <v>175</v>
      </c>
      <c r="J116" s="714">
        <f t="shared" si="7"/>
        <v>232.75</v>
      </c>
      <c r="K116" s="714">
        <f t="shared" si="11"/>
        <v>10856.742121703164</v>
      </c>
      <c r="L116" s="629"/>
      <c r="M116" s="444"/>
      <c r="N116" s="737"/>
      <c r="O116" s="770"/>
      <c r="P116" s="727"/>
      <c r="Q116" s="739"/>
    </row>
    <row r="117" spans="1:17" ht="16.5" customHeight="1">
      <c r="A117" s="713">
        <f t="shared" si="9"/>
        <v>112</v>
      </c>
      <c r="B117" s="296" t="s">
        <v>664</v>
      </c>
      <c r="C117" s="728">
        <v>41898</v>
      </c>
      <c r="D117" s="728" t="s">
        <v>686</v>
      </c>
      <c r="E117" s="910">
        <v>48</v>
      </c>
      <c r="F117" s="911">
        <v>38</v>
      </c>
      <c r="G117" s="911">
        <v>34</v>
      </c>
      <c r="H117" s="832">
        <f t="shared" si="10"/>
        <v>1.33</v>
      </c>
      <c r="I117" s="714">
        <v>1686</v>
      </c>
      <c r="J117" s="714">
        <f t="shared" si="7"/>
        <v>2242.38</v>
      </c>
      <c r="K117" s="714">
        <f t="shared" si="11"/>
        <v>10856.742121703164</v>
      </c>
      <c r="L117" s="629"/>
      <c r="M117" s="444"/>
      <c r="N117" s="737"/>
      <c r="O117" s="770"/>
      <c r="P117" s="727"/>
      <c r="Q117" s="739"/>
    </row>
    <row r="118" spans="1:17" ht="16.5" customHeight="1">
      <c r="A118" s="713">
        <f t="shared" si="9"/>
        <v>113</v>
      </c>
      <c r="B118" s="296" t="s">
        <v>663</v>
      </c>
      <c r="C118" s="728">
        <v>41898</v>
      </c>
      <c r="D118" s="728" t="s">
        <v>686</v>
      </c>
      <c r="E118" s="910">
        <v>39</v>
      </c>
      <c r="F118" s="911">
        <v>25</v>
      </c>
      <c r="G118" s="911">
        <v>44</v>
      </c>
      <c r="H118" s="832">
        <f t="shared" si="10"/>
        <v>0.96</v>
      </c>
      <c r="I118" s="714">
        <v>827</v>
      </c>
      <c r="J118" s="714">
        <f t="shared" si="7"/>
        <v>793.92</v>
      </c>
      <c r="K118" s="714">
        <f t="shared" si="11"/>
        <v>7836.4454412293517</v>
      </c>
      <c r="L118" s="629"/>
      <c r="M118" s="444"/>
      <c r="N118" s="737"/>
      <c r="O118" s="770"/>
      <c r="P118" s="727"/>
      <c r="Q118" s="739"/>
    </row>
    <row r="119" spans="1:17" ht="16.5" customHeight="1">
      <c r="A119" s="713">
        <f t="shared" si="9"/>
        <v>114</v>
      </c>
      <c r="B119" s="296" t="s">
        <v>663</v>
      </c>
      <c r="C119" s="728">
        <v>41898</v>
      </c>
      <c r="D119" s="728" t="s">
        <v>686</v>
      </c>
      <c r="E119" s="910">
        <v>39</v>
      </c>
      <c r="F119" s="911">
        <v>25</v>
      </c>
      <c r="G119" s="911">
        <v>44</v>
      </c>
      <c r="H119" s="832">
        <f t="shared" si="10"/>
        <v>0.96</v>
      </c>
      <c r="I119" s="714">
        <v>1700</v>
      </c>
      <c r="J119" s="714">
        <f t="shared" si="7"/>
        <v>1632</v>
      </c>
      <c r="K119" s="714">
        <f t="shared" si="11"/>
        <v>7836.4454412293517</v>
      </c>
      <c r="L119" s="629"/>
      <c r="M119" s="444"/>
      <c r="N119" s="737"/>
      <c r="O119" s="770"/>
      <c r="P119" s="727"/>
      <c r="Q119" s="739"/>
    </row>
    <row r="120" spans="1:17" ht="16.5" customHeight="1">
      <c r="A120" s="713">
        <f t="shared" si="9"/>
        <v>115</v>
      </c>
      <c r="B120" s="296" t="s">
        <v>624</v>
      </c>
      <c r="C120" s="728">
        <v>41898</v>
      </c>
      <c r="D120" s="728" t="s">
        <v>686</v>
      </c>
      <c r="E120" s="910">
        <v>30</v>
      </c>
      <c r="F120" s="911">
        <v>20</v>
      </c>
      <c r="G120" s="911"/>
      <c r="H120" s="832">
        <f t="shared" si="10"/>
        <v>0.06</v>
      </c>
      <c r="I120" s="714">
        <v>10500</v>
      </c>
      <c r="J120" s="714">
        <f t="shared" si="7"/>
        <v>630</v>
      </c>
      <c r="K120" s="714">
        <f t="shared" si="11"/>
        <v>489.77784007683448</v>
      </c>
      <c r="L120" s="629"/>
      <c r="M120" s="444"/>
      <c r="N120" s="737"/>
      <c r="O120" s="770"/>
      <c r="P120" s="727"/>
      <c r="Q120" s="739"/>
    </row>
    <row r="121" spans="1:17" ht="16.5" customHeight="1">
      <c r="A121" s="713">
        <f t="shared" si="9"/>
        <v>116</v>
      </c>
      <c r="B121" s="192" t="s">
        <v>687</v>
      </c>
      <c r="C121" s="728">
        <v>41899</v>
      </c>
      <c r="D121" s="728" t="s">
        <v>688</v>
      </c>
      <c r="E121" s="910">
        <v>70.5</v>
      </c>
      <c r="F121" s="911">
        <v>47.5</v>
      </c>
      <c r="G121" s="911">
        <v>46</v>
      </c>
      <c r="H121" s="832">
        <f t="shared" si="10"/>
        <v>2.33</v>
      </c>
      <c r="I121" s="714">
        <v>833</v>
      </c>
      <c r="J121" s="714">
        <f t="shared" si="7"/>
        <v>1940.89</v>
      </c>
      <c r="K121" s="714">
        <f t="shared" si="11"/>
        <v>19019.706122983738</v>
      </c>
      <c r="L121" s="629"/>
      <c r="M121" s="444"/>
      <c r="N121" s="737"/>
      <c r="O121" s="770"/>
      <c r="P121" s="727"/>
      <c r="Q121" s="739"/>
    </row>
    <row r="122" spans="1:17" ht="16.5" customHeight="1">
      <c r="A122" s="713">
        <f t="shared" si="9"/>
        <v>117</v>
      </c>
      <c r="B122" s="192" t="s">
        <v>488</v>
      </c>
      <c r="C122" s="728">
        <v>41900</v>
      </c>
      <c r="D122" s="728" t="s">
        <v>690</v>
      </c>
      <c r="E122" s="910">
        <v>43</v>
      </c>
      <c r="F122" s="911">
        <v>27.5</v>
      </c>
      <c r="G122" s="911">
        <v>33</v>
      </c>
      <c r="H122" s="832">
        <f t="shared" si="10"/>
        <v>0.93</v>
      </c>
      <c r="I122" s="714">
        <v>195</v>
      </c>
      <c r="J122" s="714">
        <f t="shared" si="7"/>
        <v>181.35000000000002</v>
      </c>
      <c r="K122" s="714">
        <f t="shared" si="11"/>
        <v>7591.5565211909352</v>
      </c>
      <c r="L122" s="629"/>
      <c r="M122" s="444"/>
      <c r="N122" s="737"/>
      <c r="O122" s="770"/>
      <c r="P122" s="727"/>
      <c r="Q122" s="739"/>
    </row>
    <row r="123" spans="1:17" ht="16.5" customHeight="1">
      <c r="A123" s="713">
        <f t="shared" si="9"/>
        <v>118</v>
      </c>
      <c r="B123" s="296" t="s">
        <v>495</v>
      </c>
      <c r="C123" s="728">
        <v>41900</v>
      </c>
      <c r="D123" s="728" t="s">
        <v>690</v>
      </c>
      <c r="E123" s="910">
        <v>42</v>
      </c>
      <c r="F123" s="911">
        <v>26</v>
      </c>
      <c r="G123" s="911">
        <v>33</v>
      </c>
      <c r="H123" s="832">
        <f t="shared" si="10"/>
        <v>0.87</v>
      </c>
      <c r="I123" s="714">
        <v>300</v>
      </c>
      <c r="J123" s="714">
        <f t="shared" si="7"/>
        <v>261</v>
      </c>
      <c r="K123" s="714">
        <f t="shared" si="11"/>
        <v>7101.7786811141004</v>
      </c>
      <c r="L123" s="629"/>
      <c r="M123" s="444"/>
      <c r="N123" s="737"/>
      <c r="O123" s="770"/>
      <c r="P123" s="727"/>
      <c r="Q123" s="739"/>
    </row>
    <row r="124" spans="1:17" ht="16.5" customHeight="1">
      <c r="A124" s="713">
        <f t="shared" si="9"/>
        <v>119</v>
      </c>
      <c r="B124" s="296" t="s">
        <v>691</v>
      </c>
      <c r="C124" s="728">
        <v>41904</v>
      </c>
      <c r="D124" s="728" t="s">
        <v>692</v>
      </c>
      <c r="E124" s="910">
        <v>45</v>
      </c>
      <c r="F124" s="911">
        <v>34.5</v>
      </c>
      <c r="G124" s="911">
        <v>7.2</v>
      </c>
      <c r="H124" s="832">
        <f t="shared" si="10"/>
        <v>0.73</v>
      </c>
      <c r="I124" s="714">
        <v>314</v>
      </c>
      <c r="J124" s="714">
        <f t="shared" si="7"/>
        <v>229.22</v>
      </c>
      <c r="K124" s="714">
        <f t="shared" si="11"/>
        <v>5958.9637209348193</v>
      </c>
      <c r="L124" s="629"/>
      <c r="M124" s="444"/>
      <c r="N124" s="737"/>
      <c r="O124" s="770"/>
      <c r="P124" s="727"/>
      <c r="Q124" s="739"/>
    </row>
    <row r="125" spans="1:17" ht="16.5" customHeight="1">
      <c r="A125" s="713">
        <f t="shared" si="9"/>
        <v>120</v>
      </c>
      <c r="B125" s="296" t="s">
        <v>693</v>
      </c>
      <c r="C125" s="728">
        <v>41904</v>
      </c>
      <c r="D125" s="728" t="s">
        <v>692</v>
      </c>
      <c r="E125" s="910">
        <v>51.5</v>
      </c>
      <c r="F125" s="911">
        <v>28.5</v>
      </c>
      <c r="G125" s="911">
        <v>7.7</v>
      </c>
      <c r="H125" s="832">
        <f t="shared" si="10"/>
        <v>0.65</v>
      </c>
      <c r="I125" s="714">
        <v>103</v>
      </c>
      <c r="J125" s="714">
        <f t="shared" si="7"/>
        <v>66.95</v>
      </c>
      <c r="K125" s="714">
        <f t="shared" si="11"/>
        <v>5305.9266008323739</v>
      </c>
      <c r="L125" s="629"/>
      <c r="M125" s="444"/>
      <c r="N125" s="737"/>
      <c r="O125" s="770"/>
      <c r="P125" s="727"/>
      <c r="Q125" s="739"/>
    </row>
    <row r="126" spans="1:17" ht="16.5" customHeight="1">
      <c r="A126" s="713">
        <f t="shared" si="9"/>
        <v>121</v>
      </c>
      <c r="B126" s="296" t="s">
        <v>694</v>
      </c>
      <c r="C126" s="728">
        <v>41904</v>
      </c>
      <c r="D126" s="728" t="s">
        <v>692</v>
      </c>
      <c r="E126" s="910">
        <v>32.5</v>
      </c>
      <c r="F126" s="911">
        <v>30.5</v>
      </c>
      <c r="G126" s="911">
        <v>7.5</v>
      </c>
      <c r="H126" s="832">
        <f t="shared" si="10"/>
        <v>0.54</v>
      </c>
      <c r="I126" s="714">
        <v>497</v>
      </c>
      <c r="J126" s="714">
        <f t="shared" si="7"/>
        <v>268.38</v>
      </c>
      <c r="K126" s="714">
        <f t="shared" si="11"/>
        <v>4408.0005606915111</v>
      </c>
      <c r="L126" s="629"/>
      <c r="M126" s="444"/>
      <c r="N126" s="737"/>
      <c r="O126" s="770"/>
      <c r="P126" s="727"/>
      <c r="Q126" s="739"/>
    </row>
    <row r="127" spans="1:17" ht="16.5" customHeight="1">
      <c r="A127" s="713">
        <f t="shared" si="9"/>
        <v>122</v>
      </c>
      <c r="B127" s="296" t="s">
        <v>695</v>
      </c>
      <c r="C127" s="728">
        <v>41904</v>
      </c>
      <c r="D127" s="728" t="s">
        <v>692</v>
      </c>
      <c r="E127" s="910">
        <v>42</v>
      </c>
      <c r="F127" s="911">
        <v>23.5</v>
      </c>
      <c r="G127" s="911">
        <v>8</v>
      </c>
      <c r="H127" s="832">
        <f t="shared" si="10"/>
        <v>0.47</v>
      </c>
      <c r="I127" s="714">
        <v>300</v>
      </c>
      <c r="J127" s="714">
        <f t="shared" si="7"/>
        <v>141</v>
      </c>
      <c r="K127" s="714">
        <f t="shared" si="11"/>
        <v>3836.59308060187</v>
      </c>
      <c r="L127" s="629"/>
      <c r="M127" s="444"/>
      <c r="N127" s="737"/>
      <c r="O127" s="770"/>
      <c r="P127" s="727"/>
      <c r="Q127" s="739"/>
    </row>
    <row r="128" spans="1:17" ht="16.5" customHeight="1">
      <c r="A128" s="713">
        <f t="shared" si="9"/>
        <v>123</v>
      </c>
      <c r="B128" s="296" t="s">
        <v>696</v>
      </c>
      <c r="C128" s="728">
        <v>41905</v>
      </c>
      <c r="D128" s="728" t="s">
        <v>697</v>
      </c>
      <c r="E128" s="910">
        <v>76</v>
      </c>
      <c r="F128" s="911">
        <v>55</v>
      </c>
      <c r="G128" s="911">
        <v>33</v>
      </c>
      <c r="H128" s="832">
        <f t="shared" si="10"/>
        <v>2.4300000000000002</v>
      </c>
      <c r="I128" s="714">
        <v>184</v>
      </c>
      <c r="J128" s="714">
        <f t="shared" si="7"/>
        <v>447.12</v>
      </c>
      <c r="K128" s="714">
        <f t="shared" si="11"/>
        <v>19836.002523111798</v>
      </c>
      <c r="L128" s="629"/>
      <c r="M128" s="444"/>
      <c r="N128" s="737"/>
      <c r="O128" s="770"/>
      <c r="P128" s="727"/>
      <c r="Q128" s="739"/>
    </row>
    <row r="129" spans="1:17" ht="16.5" customHeight="1">
      <c r="A129" s="713">
        <f t="shared" si="9"/>
        <v>124</v>
      </c>
      <c r="B129" s="296" t="s">
        <v>747</v>
      </c>
      <c r="C129" s="728">
        <v>41905</v>
      </c>
      <c r="D129" s="728" t="s">
        <v>697</v>
      </c>
      <c r="E129" s="910">
        <v>60</v>
      </c>
      <c r="F129" s="911">
        <v>25</v>
      </c>
      <c r="G129" s="911"/>
      <c r="H129" s="832">
        <f t="shared" si="10"/>
        <v>0.15</v>
      </c>
      <c r="I129" s="714">
        <v>368</v>
      </c>
      <c r="J129" s="714">
        <f t="shared" si="7"/>
        <v>55.199999999999996</v>
      </c>
      <c r="K129" s="714">
        <f t="shared" si="11"/>
        <v>1224.4446001920862</v>
      </c>
      <c r="L129" s="629"/>
      <c r="M129" s="444"/>
      <c r="N129" s="737"/>
      <c r="O129" s="770"/>
      <c r="P129" s="727"/>
      <c r="Q129" s="739"/>
    </row>
    <row r="130" spans="1:17" ht="16.5" customHeight="1">
      <c r="A130" s="713">
        <f t="shared" si="9"/>
        <v>125</v>
      </c>
      <c r="B130" s="296" t="s">
        <v>683</v>
      </c>
      <c r="C130" s="728">
        <v>41905</v>
      </c>
      <c r="D130" s="728" t="s">
        <v>698</v>
      </c>
      <c r="E130" s="910">
        <v>86</v>
      </c>
      <c r="F130" s="911">
        <v>64</v>
      </c>
      <c r="G130" s="911">
        <v>33</v>
      </c>
      <c r="H130" s="832">
        <f t="shared" si="10"/>
        <v>3.05</v>
      </c>
      <c r="I130" s="714">
        <v>13</v>
      </c>
      <c r="J130" s="714">
        <f t="shared" si="7"/>
        <v>39.65</v>
      </c>
      <c r="K130" s="714">
        <f t="shared" si="11"/>
        <v>24897.040203905752</v>
      </c>
      <c r="L130" s="629"/>
      <c r="M130" s="444"/>
      <c r="N130" s="737"/>
      <c r="O130" s="770"/>
      <c r="P130" s="727"/>
      <c r="Q130" s="739"/>
    </row>
    <row r="131" spans="1:17" ht="16.5" customHeight="1">
      <c r="A131" s="713">
        <f t="shared" si="9"/>
        <v>126</v>
      </c>
      <c r="B131" s="296" t="s">
        <v>516</v>
      </c>
      <c r="C131" s="728">
        <v>41907</v>
      </c>
      <c r="D131" s="728" t="s">
        <v>699</v>
      </c>
      <c r="E131" s="910">
        <v>59</v>
      </c>
      <c r="F131" s="911">
        <v>38</v>
      </c>
      <c r="G131" s="911">
        <v>17</v>
      </c>
      <c r="H131" s="832">
        <f t="shared" si="10"/>
        <v>1.1499999999999999</v>
      </c>
      <c r="I131" s="714">
        <v>994</v>
      </c>
      <c r="J131" s="714">
        <f t="shared" si="7"/>
        <v>1143.0999999999999</v>
      </c>
      <c r="K131" s="714">
        <f t="shared" si="11"/>
        <v>9387.4086014726599</v>
      </c>
      <c r="L131" s="629"/>
      <c r="M131" s="444"/>
      <c r="N131" s="737"/>
      <c r="O131" s="770"/>
      <c r="P131" s="727"/>
      <c r="Q131" s="739"/>
    </row>
    <row r="132" spans="1:17" ht="16.5" customHeight="1">
      <c r="A132" s="713">
        <f t="shared" si="9"/>
        <v>127</v>
      </c>
      <c r="B132" s="296" t="s">
        <v>640</v>
      </c>
      <c r="C132" s="728">
        <v>41908</v>
      </c>
      <c r="D132" s="728" t="s">
        <v>700</v>
      </c>
      <c r="E132" s="910">
        <v>22</v>
      </c>
      <c r="F132" s="911">
        <v>22</v>
      </c>
      <c r="G132" s="911">
        <v>29.5</v>
      </c>
      <c r="H132" s="832">
        <f t="shared" si="10"/>
        <v>0.51</v>
      </c>
      <c r="I132" s="714">
        <v>1500</v>
      </c>
      <c r="J132" s="714">
        <f t="shared" si="7"/>
        <v>765</v>
      </c>
      <c r="K132" s="714">
        <f t="shared" si="11"/>
        <v>4163.1116406530937</v>
      </c>
      <c r="L132" s="629"/>
      <c r="M132" s="444"/>
      <c r="N132" s="737"/>
      <c r="O132" s="770"/>
      <c r="P132" s="727"/>
      <c r="Q132" s="739"/>
    </row>
    <row r="133" spans="1:17" ht="16.5" customHeight="1">
      <c r="A133" s="713">
        <f t="shared" si="9"/>
        <v>128</v>
      </c>
      <c r="B133" s="296" t="s">
        <v>501</v>
      </c>
      <c r="C133" s="728">
        <v>41908</v>
      </c>
      <c r="D133" s="728" t="s">
        <v>701</v>
      </c>
      <c r="E133" s="910">
        <v>51.5</v>
      </c>
      <c r="F133" s="911">
        <v>25</v>
      </c>
      <c r="G133" s="911">
        <v>25.2</v>
      </c>
      <c r="H133" s="832">
        <f t="shared" si="10"/>
        <v>0.84</v>
      </c>
      <c r="I133" s="714">
        <v>399</v>
      </c>
      <c r="J133" s="714">
        <f t="shared" si="7"/>
        <v>335.15999999999997</v>
      </c>
      <c r="K133" s="714">
        <f t="shared" si="11"/>
        <v>6856.8897610756831</v>
      </c>
      <c r="L133" s="629"/>
      <c r="M133" s="444"/>
      <c r="N133" s="737"/>
      <c r="O133" s="770"/>
      <c r="P133" s="727"/>
      <c r="Q133" s="739"/>
    </row>
    <row r="134" spans="1:17" ht="16.5" customHeight="1">
      <c r="A134" s="713">
        <f t="shared" si="9"/>
        <v>129</v>
      </c>
      <c r="B134" s="189" t="s">
        <v>504</v>
      </c>
      <c r="C134" s="728">
        <v>41908</v>
      </c>
      <c r="D134" s="728" t="s">
        <v>701</v>
      </c>
      <c r="E134" s="910">
        <v>51.5</v>
      </c>
      <c r="F134" s="911">
        <v>26</v>
      </c>
      <c r="G134" s="911">
        <v>27</v>
      </c>
      <c r="H134" s="832">
        <f t="shared" si="10"/>
        <v>0.9</v>
      </c>
      <c r="I134" s="714">
        <v>295</v>
      </c>
      <c r="J134" s="714">
        <f t="shared" ref="J134:J155" si="12">H134*I134</f>
        <v>265.5</v>
      </c>
      <c r="K134" s="714">
        <f t="shared" ref="K134:K155" si="13">H134*$Q$35</f>
        <v>7346.6676011525178</v>
      </c>
      <c r="L134" s="629"/>
      <c r="M134" s="444"/>
      <c r="N134" s="737"/>
      <c r="O134" s="770"/>
      <c r="P134" s="727"/>
      <c r="Q134" s="739"/>
    </row>
    <row r="135" spans="1:17" ht="16.5" customHeight="1">
      <c r="A135" s="713">
        <f t="shared" ref="A135:A155" si="14">IF(B135&lt;&gt;"",A134+1,"")</f>
        <v>130</v>
      </c>
      <c r="B135" s="296" t="s">
        <v>505</v>
      </c>
      <c r="C135" s="728">
        <v>41908</v>
      </c>
      <c r="D135" s="728" t="s">
        <v>701</v>
      </c>
      <c r="E135" s="910">
        <v>51.5</v>
      </c>
      <c r="F135" s="911">
        <v>27</v>
      </c>
      <c r="G135" s="911">
        <v>27.5</v>
      </c>
      <c r="H135" s="832">
        <f t="shared" ref="H135:H155" si="15">IF(G135&lt;&gt;"",ROUND(((E135+F135)*2+5)*(F135+G135+3)/10000,2),ROUND(E135*F135/10000,2))</f>
        <v>0.93</v>
      </c>
      <c r="I135" s="714">
        <v>200</v>
      </c>
      <c r="J135" s="714">
        <f t="shared" si="12"/>
        <v>186</v>
      </c>
      <c r="K135" s="714">
        <f t="shared" si="13"/>
        <v>7591.5565211909352</v>
      </c>
      <c r="L135" s="629"/>
      <c r="M135" s="444"/>
      <c r="N135" s="737"/>
      <c r="O135" s="770"/>
      <c r="P135" s="727"/>
      <c r="Q135" s="739"/>
    </row>
    <row r="136" spans="1:17" ht="16.5" customHeight="1">
      <c r="A136" s="713">
        <f t="shared" si="14"/>
        <v>131</v>
      </c>
      <c r="B136" s="296" t="s">
        <v>406</v>
      </c>
      <c r="C136" s="728">
        <v>41908</v>
      </c>
      <c r="D136" s="728" t="s">
        <v>701</v>
      </c>
      <c r="E136" s="910">
        <v>52</v>
      </c>
      <c r="F136" s="911">
        <v>33</v>
      </c>
      <c r="G136" s="911">
        <v>22</v>
      </c>
      <c r="H136" s="832">
        <f t="shared" si="15"/>
        <v>1.02</v>
      </c>
      <c r="I136" s="714">
        <v>298</v>
      </c>
      <c r="J136" s="714">
        <f t="shared" si="12"/>
        <v>303.95999999999998</v>
      </c>
      <c r="K136" s="714">
        <f t="shared" si="13"/>
        <v>8326.2232813061873</v>
      </c>
      <c r="L136" s="629"/>
      <c r="M136" s="444"/>
      <c r="N136" s="737"/>
      <c r="O136" s="770"/>
      <c r="P136" s="727"/>
      <c r="Q136" s="739"/>
    </row>
    <row r="137" spans="1:17" ht="16.5" customHeight="1">
      <c r="A137" s="713">
        <f t="shared" si="14"/>
        <v>132</v>
      </c>
      <c r="B137" s="296" t="s">
        <v>702</v>
      </c>
      <c r="C137" s="728">
        <v>41908</v>
      </c>
      <c r="D137" s="728" t="s">
        <v>701</v>
      </c>
      <c r="E137" s="910">
        <v>51.5</v>
      </c>
      <c r="F137" s="911">
        <v>22</v>
      </c>
      <c r="G137" s="911">
        <v>22</v>
      </c>
      <c r="H137" s="832">
        <f t="shared" si="15"/>
        <v>0.71</v>
      </c>
      <c r="I137" s="714">
        <v>360</v>
      </c>
      <c r="J137" s="714">
        <f t="shared" si="12"/>
        <v>255.6</v>
      </c>
      <c r="K137" s="714">
        <f t="shared" si="13"/>
        <v>5795.7044409092077</v>
      </c>
      <c r="L137" s="629"/>
      <c r="M137" s="444"/>
      <c r="N137" s="737"/>
      <c r="O137" s="770"/>
      <c r="P137" s="727"/>
      <c r="Q137" s="739"/>
    </row>
    <row r="138" spans="1:17" ht="16.5" customHeight="1">
      <c r="A138" s="713">
        <f t="shared" si="14"/>
        <v>133</v>
      </c>
      <c r="B138" s="296" t="s">
        <v>437</v>
      </c>
      <c r="C138" s="728">
        <v>41908</v>
      </c>
      <c r="D138" s="728" t="s">
        <v>703</v>
      </c>
      <c r="E138" s="910">
        <v>49</v>
      </c>
      <c r="F138" s="911">
        <v>38</v>
      </c>
      <c r="G138" s="911">
        <v>12</v>
      </c>
      <c r="H138" s="832">
        <f t="shared" si="15"/>
        <v>0.95</v>
      </c>
      <c r="I138" s="714">
        <v>498</v>
      </c>
      <c r="J138" s="714">
        <f t="shared" si="12"/>
        <v>473.09999999999997</v>
      </c>
      <c r="K138" s="714">
        <f t="shared" si="13"/>
        <v>7754.8158012165459</v>
      </c>
      <c r="L138" s="629"/>
      <c r="M138" s="444"/>
      <c r="N138" s="737"/>
      <c r="O138" s="770"/>
      <c r="P138" s="727"/>
      <c r="Q138" s="739"/>
    </row>
    <row r="139" spans="1:17" ht="16.5" customHeight="1">
      <c r="A139" s="713">
        <f t="shared" si="14"/>
        <v>134</v>
      </c>
      <c r="B139" s="296" t="s">
        <v>567</v>
      </c>
      <c r="C139" s="728">
        <v>41908</v>
      </c>
      <c r="D139" s="728" t="s">
        <v>703</v>
      </c>
      <c r="E139" s="910">
        <v>49</v>
      </c>
      <c r="F139" s="911">
        <v>38</v>
      </c>
      <c r="G139" s="911">
        <v>13</v>
      </c>
      <c r="H139" s="832">
        <f t="shared" si="15"/>
        <v>0.97</v>
      </c>
      <c r="I139" s="714">
        <v>493</v>
      </c>
      <c r="J139" s="714">
        <f t="shared" si="12"/>
        <v>478.21</v>
      </c>
      <c r="K139" s="714">
        <f t="shared" si="13"/>
        <v>7918.0750812421575</v>
      </c>
      <c r="L139" s="629"/>
      <c r="M139" s="444"/>
      <c r="N139" s="737"/>
      <c r="O139" s="770"/>
      <c r="P139" s="727"/>
      <c r="Q139" s="739"/>
    </row>
    <row r="140" spans="1:17" ht="16.5" customHeight="1">
      <c r="A140" s="713">
        <f t="shared" si="14"/>
        <v>135</v>
      </c>
      <c r="B140" s="296" t="s">
        <v>704</v>
      </c>
      <c r="C140" s="728">
        <v>41908</v>
      </c>
      <c r="D140" s="728" t="s">
        <v>705</v>
      </c>
      <c r="E140" s="910">
        <v>36.5</v>
      </c>
      <c r="F140" s="911">
        <v>29.5</v>
      </c>
      <c r="G140" s="911">
        <v>35</v>
      </c>
      <c r="H140" s="832">
        <f t="shared" si="15"/>
        <v>0.92</v>
      </c>
      <c r="I140" s="714">
        <v>51</v>
      </c>
      <c r="J140" s="714">
        <f t="shared" si="12"/>
        <v>46.92</v>
      </c>
      <c r="K140" s="714">
        <f t="shared" si="13"/>
        <v>7509.9268811781294</v>
      </c>
      <c r="L140" s="629"/>
      <c r="M140" s="444"/>
      <c r="N140" s="737"/>
      <c r="O140" s="770"/>
      <c r="P140" s="727"/>
      <c r="Q140" s="739"/>
    </row>
    <row r="141" spans="1:17" ht="16.5" customHeight="1">
      <c r="A141" s="713">
        <f t="shared" si="14"/>
        <v>136</v>
      </c>
      <c r="B141" s="296" t="s">
        <v>706</v>
      </c>
      <c r="C141" s="728">
        <v>41908</v>
      </c>
      <c r="D141" s="728" t="s">
        <v>705</v>
      </c>
      <c r="E141" s="910">
        <v>51.5</v>
      </c>
      <c r="F141" s="911">
        <v>44.5</v>
      </c>
      <c r="G141" s="911">
        <v>18</v>
      </c>
      <c r="H141" s="832">
        <f t="shared" si="15"/>
        <v>1.29</v>
      </c>
      <c r="I141" s="714">
        <v>313</v>
      </c>
      <c r="J141" s="714">
        <f t="shared" si="12"/>
        <v>403.77000000000004</v>
      </c>
      <c r="K141" s="714">
        <f t="shared" si="13"/>
        <v>10530.223561651941</v>
      </c>
      <c r="L141" s="629"/>
      <c r="M141" s="444"/>
      <c r="N141" s="737"/>
      <c r="O141" s="770"/>
      <c r="P141" s="944"/>
      <c r="Q141" s="739"/>
    </row>
    <row r="142" spans="1:17" ht="16.5" customHeight="1">
      <c r="A142" s="713">
        <f t="shared" si="14"/>
        <v>137</v>
      </c>
      <c r="B142" s="296" t="s">
        <v>707</v>
      </c>
      <c r="C142" s="728">
        <v>41908</v>
      </c>
      <c r="D142" s="728" t="s">
        <v>705</v>
      </c>
      <c r="E142" s="910">
        <v>36.5</v>
      </c>
      <c r="F142" s="910">
        <v>36.5</v>
      </c>
      <c r="G142" s="911">
        <v>25</v>
      </c>
      <c r="H142" s="832">
        <f t="shared" si="15"/>
        <v>0.97</v>
      </c>
      <c r="I142" s="714">
        <v>113</v>
      </c>
      <c r="J142" s="714">
        <f t="shared" si="12"/>
        <v>109.61</v>
      </c>
      <c r="K142" s="714">
        <f t="shared" si="13"/>
        <v>7918.0750812421575</v>
      </c>
      <c r="L142" s="629"/>
      <c r="M142" s="444"/>
      <c r="N142" s="737"/>
      <c r="O142" s="770"/>
      <c r="P142" s="944"/>
      <c r="Q142" s="739"/>
    </row>
    <row r="143" spans="1:17" ht="16.5" customHeight="1">
      <c r="A143" s="713">
        <f t="shared" si="14"/>
        <v>138</v>
      </c>
      <c r="B143" s="296" t="s">
        <v>708</v>
      </c>
      <c r="C143" s="728">
        <v>41908</v>
      </c>
      <c r="D143" s="728" t="s">
        <v>705</v>
      </c>
      <c r="E143" s="910">
        <v>46.5</v>
      </c>
      <c r="F143" s="911">
        <v>41.5</v>
      </c>
      <c r="G143" s="911">
        <v>27</v>
      </c>
      <c r="H143" s="832">
        <f t="shared" si="15"/>
        <v>1.29</v>
      </c>
      <c r="I143" s="714">
        <v>21</v>
      </c>
      <c r="J143" s="714">
        <f t="shared" si="12"/>
        <v>27.09</v>
      </c>
      <c r="K143" s="714">
        <f t="shared" si="13"/>
        <v>10530.223561651941</v>
      </c>
      <c r="L143" s="629"/>
      <c r="M143" s="444"/>
      <c r="N143" s="737"/>
      <c r="O143" s="770"/>
      <c r="P143" s="944"/>
      <c r="Q143" s="739"/>
    </row>
    <row r="144" spans="1:17" ht="16.5" customHeight="1">
      <c r="A144" s="713">
        <f t="shared" si="14"/>
        <v>139</v>
      </c>
      <c r="B144" s="296" t="s">
        <v>709</v>
      </c>
      <c r="C144" s="728">
        <v>41908</v>
      </c>
      <c r="D144" s="728" t="s">
        <v>705</v>
      </c>
      <c r="E144" s="910">
        <v>41.5</v>
      </c>
      <c r="F144" s="911">
        <v>38.5</v>
      </c>
      <c r="G144" s="911">
        <v>27</v>
      </c>
      <c r="H144" s="832">
        <f t="shared" si="15"/>
        <v>1.1299999999999999</v>
      </c>
      <c r="I144" s="714">
        <v>35</v>
      </c>
      <c r="J144" s="714">
        <f t="shared" si="12"/>
        <v>39.549999999999997</v>
      </c>
      <c r="K144" s="714">
        <f t="shared" si="13"/>
        <v>9224.1493214470484</v>
      </c>
      <c r="L144" s="629"/>
      <c r="M144" s="444"/>
      <c r="N144" s="737"/>
      <c r="O144" s="770"/>
      <c r="P144" s="946"/>
      <c r="Q144" s="739"/>
    </row>
    <row r="145" spans="1:17" ht="16.5" customHeight="1">
      <c r="A145" s="713">
        <f t="shared" si="14"/>
        <v>140</v>
      </c>
      <c r="B145" s="296" t="s">
        <v>710</v>
      </c>
      <c r="C145" s="728">
        <v>41908</v>
      </c>
      <c r="D145" s="728" t="s">
        <v>705</v>
      </c>
      <c r="E145" s="910">
        <v>43.5</v>
      </c>
      <c r="F145" s="911">
        <v>39.5</v>
      </c>
      <c r="G145" s="911">
        <v>27</v>
      </c>
      <c r="H145" s="832">
        <f t="shared" si="15"/>
        <v>1.19</v>
      </c>
      <c r="I145" s="714">
        <v>33</v>
      </c>
      <c r="J145" s="714">
        <f t="shared" si="12"/>
        <v>39.269999999999996</v>
      </c>
      <c r="K145" s="714">
        <f t="shared" si="13"/>
        <v>9713.9271615238831</v>
      </c>
      <c r="L145" s="629"/>
      <c r="M145" s="444"/>
      <c r="N145" s="737"/>
      <c r="O145" s="770"/>
      <c r="P145" s="947"/>
      <c r="Q145" s="739"/>
    </row>
    <row r="146" spans="1:17" ht="16.5" customHeight="1">
      <c r="A146" s="713">
        <f t="shared" si="14"/>
        <v>141</v>
      </c>
      <c r="B146" s="296" t="s">
        <v>587</v>
      </c>
      <c r="C146" s="728">
        <v>41908</v>
      </c>
      <c r="D146" s="728" t="s">
        <v>705</v>
      </c>
      <c r="E146" s="910">
        <v>45.5</v>
      </c>
      <c r="F146" s="911">
        <v>41.5</v>
      </c>
      <c r="G146" s="911">
        <v>25</v>
      </c>
      <c r="H146" s="832">
        <f t="shared" si="15"/>
        <v>1.24</v>
      </c>
      <c r="I146" s="714">
        <v>762</v>
      </c>
      <c r="J146" s="714">
        <f t="shared" si="12"/>
        <v>944.88</v>
      </c>
      <c r="K146" s="714">
        <f t="shared" si="13"/>
        <v>10122.075361587913</v>
      </c>
      <c r="L146" s="629"/>
      <c r="M146" s="444"/>
      <c r="N146" s="737"/>
      <c r="O146" s="770"/>
      <c r="P146" s="947"/>
      <c r="Q146" s="739"/>
    </row>
    <row r="147" spans="1:17" ht="16.5" customHeight="1">
      <c r="A147" s="713">
        <f t="shared" si="14"/>
        <v>142</v>
      </c>
      <c r="B147" s="296" t="s">
        <v>711</v>
      </c>
      <c r="C147" s="728">
        <v>41908</v>
      </c>
      <c r="D147" s="728" t="s">
        <v>705</v>
      </c>
      <c r="E147" s="910">
        <v>41</v>
      </c>
      <c r="F147" s="911">
        <v>37</v>
      </c>
      <c r="G147" s="911">
        <v>40</v>
      </c>
      <c r="H147" s="832">
        <f t="shared" si="15"/>
        <v>1.29</v>
      </c>
      <c r="I147" s="714">
        <v>145</v>
      </c>
      <c r="J147" s="714">
        <f t="shared" si="12"/>
        <v>187.05</v>
      </c>
      <c r="K147" s="714">
        <f t="shared" si="13"/>
        <v>10530.223561651941</v>
      </c>
      <c r="L147" s="629"/>
      <c r="M147" s="444"/>
      <c r="N147" s="737"/>
      <c r="O147" s="770"/>
      <c r="P147" s="947"/>
      <c r="Q147" s="739"/>
    </row>
    <row r="148" spans="1:17" ht="16.5" customHeight="1">
      <c r="A148" s="713">
        <f t="shared" si="14"/>
        <v>143</v>
      </c>
      <c r="B148" s="296" t="s">
        <v>460</v>
      </c>
      <c r="C148" s="728">
        <v>41909</v>
      </c>
      <c r="D148" s="728" t="s">
        <v>712</v>
      </c>
      <c r="E148" s="910">
        <v>55</v>
      </c>
      <c r="F148" s="911">
        <v>28</v>
      </c>
      <c r="G148" s="911">
        <v>23</v>
      </c>
      <c r="H148" s="832">
        <f t="shared" si="15"/>
        <v>0.92</v>
      </c>
      <c r="I148" s="714">
        <v>1007</v>
      </c>
      <c r="J148" s="714">
        <f t="shared" si="12"/>
        <v>926.44</v>
      </c>
      <c r="K148" s="714">
        <f t="shared" si="13"/>
        <v>7509.9268811781294</v>
      </c>
      <c r="L148" s="629"/>
      <c r="M148" s="444"/>
      <c r="N148" s="737"/>
      <c r="O148" s="770"/>
      <c r="P148" s="947"/>
      <c r="Q148" s="739"/>
    </row>
    <row r="149" spans="1:17" ht="16.5" customHeight="1">
      <c r="A149" s="713">
        <f t="shared" si="14"/>
        <v>144</v>
      </c>
      <c r="B149" s="296" t="s">
        <v>713</v>
      </c>
      <c r="C149" s="728">
        <v>41912</v>
      </c>
      <c r="D149" s="728" t="s">
        <v>714</v>
      </c>
      <c r="E149" s="910">
        <v>51</v>
      </c>
      <c r="F149" s="911">
        <v>37</v>
      </c>
      <c r="G149" s="911">
        <v>27</v>
      </c>
      <c r="H149" s="832">
        <f t="shared" si="15"/>
        <v>1.21</v>
      </c>
      <c r="I149" s="714">
        <v>264</v>
      </c>
      <c r="J149" s="714">
        <f t="shared" si="12"/>
        <v>319.44</v>
      </c>
      <c r="K149" s="714">
        <f t="shared" si="13"/>
        <v>9877.1864415494947</v>
      </c>
      <c r="L149" s="629"/>
      <c r="M149" s="444"/>
      <c r="N149" s="737"/>
      <c r="O149" s="770"/>
      <c r="P149" s="946"/>
      <c r="Q149" s="739"/>
    </row>
    <row r="150" spans="1:17" ht="16.5" customHeight="1">
      <c r="A150" s="713">
        <f t="shared" si="14"/>
        <v>145</v>
      </c>
      <c r="B150" s="296" t="s">
        <v>713</v>
      </c>
      <c r="C150" s="728">
        <v>41912</v>
      </c>
      <c r="D150" s="728" t="s">
        <v>714</v>
      </c>
      <c r="E150" s="910">
        <v>51</v>
      </c>
      <c r="F150" s="911">
        <v>37</v>
      </c>
      <c r="G150" s="911">
        <v>27</v>
      </c>
      <c r="H150" s="832">
        <f t="shared" si="15"/>
        <v>1.21</v>
      </c>
      <c r="I150" s="714">
        <v>169</v>
      </c>
      <c r="J150" s="714">
        <f t="shared" si="12"/>
        <v>204.48999999999998</v>
      </c>
      <c r="K150" s="714">
        <f t="shared" si="13"/>
        <v>9877.1864415494947</v>
      </c>
      <c r="L150" s="629"/>
      <c r="M150" s="444"/>
      <c r="N150" s="737"/>
      <c r="O150" s="770"/>
      <c r="P150" s="946"/>
      <c r="Q150" s="739"/>
    </row>
    <row r="151" spans="1:17" ht="16.5" customHeight="1">
      <c r="A151" s="713">
        <f t="shared" si="14"/>
        <v>146</v>
      </c>
      <c r="B151" s="296" t="s">
        <v>671</v>
      </c>
      <c r="C151" s="728">
        <v>41912</v>
      </c>
      <c r="D151" s="728" t="s">
        <v>716</v>
      </c>
      <c r="E151" s="910">
        <v>43</v>
      </c>
      <c r="F151" s="911">
        <v>31</v>
      </c>
      <c r="G151" s="911">
        <v>25</v>
      </c>
      <c r="H151" s="832">
        <f t="shared" si="15"/>
        <v>0.9</v>
      </c>
      <c r="I151" s="714">
        <v>993</v>
      </c>
      <c r="J151" s="714">
        <f t="shared" si="12"/>
        <v>893.7</v>
      </c>
      <c r="K151" s="714">
        <f t="shared" si="13"/>
        <v>7346.6676011525178</v>
      </c>
      <c r="L151" s="629"/>
      <c r="M151" s="444"/>
      <c r="N151" s="737"/>
      <c r="O151" s="770"/>
      <c r="P151" s="944"/>
      <c r="Q151" s="739"/>
    </row>
    <row r="152" spans="1:17" ht="16.5" customHeight="1">
      <c r="A152" s="713">
        <f t="shared" si="14"/>
        <v>147</v>
      </c>
      <c r="B152" s="296" t="s">
        <v>717</v>
      </c>
      <c r="C152" s="728">
        <v>41912</v>
      </c>
      <c r="D152" s="728" t="s">
        <v>718</v>
      </c>
      <c r="E152" s="910">
        <v>73</v>
      </c>
      <c r="F152" s="911">
        <v>59</v>
      </c>
      <c r="G152" s="911">
        <v>35</v>
      </c>
      <c r="H152" s="832">
        <f t="shared" si="15"/>
        <v>2.61</v>
      </c>
      <c r="I152" s="714">
        <v>247</v>
      </c>
      <c r="J152" s="714">
        <f t="shared" si="12"/>
        <v>644.66999999999996</v>
      </c>
      <c r="K152" s="714">
        <f t="shared" si="13"/>
        <v>21305.3360433423</v>
      </c>
      <c r="L152" s="629"/>
      <c r="M152" s="444"/>
      <c r="N152" s="737"/>
      <c r="O152" s="770"/>
      <c r="P152" s="727"/>
      <c r="Q152" s="739"/>
    </row>
    <row r="153" spans="1:17" ht="16.5" customHeight="1">
      <c r="A153" s="713">
        <f t="shared" si="14"/>
        <v>148</v>
      </c>
      <c r="B153" s="296" t="s">
        <v>693</v>
      </c>
      <c r="C153" s="728">
        <v>41912</v>
      </c>
      <c r="D153" s="728" t="s">
        <v>719</v>
      </c>
      <c r="E153" s="910">
        <v>51.5</v>
      </c>
      <c r="F153" s="911">
        <v>28.5</v>
      </c>
      <c r="G153" s="911">
        <v>7.7</v>
      </c>
      <c r="H153" s="832">
        <f t="shared" si="15"/>
        <v>0.65</v>
      </c>
      <c r="I153" s="714">
        <v>498</v>
      </c>
      <c r="J153" s="714">
        <f t="shared" si="12"/>
        <v>323.7</v>
      </c>
      <c r="K153" s="714">
        <f t="shared" si="13"/>
        <v>5305.9266008323739</v>
      </c>
      <c r="L153" s="629"/>
      <c r="M153" s="444"/>
      <c r="N153" s="737"/>
      <c r="O153" s="770"/>
      <c r="P153" s="948"/>
      <c r="Q153" s="739"/>
    </row>
    <row r="154" spans="1:17" ht="16.5" customHeight="1">
      <c r="A154" s="713">
        <f t="shared" si="14"/>
        <v>149</v>
      </c>
      <c r="B154" s="296" t="s">
        <v>694</v>
      </c>
      <c r="C154" s="728">
        <v>41912</v>
      </c>
      <c r="D154" s="728" t="s">
        <v>719</v>
      </c>
      <c r="E154" s="910">
        <v>32.5</v>
      </c>
      <c r="F154" s="911">
        <v>30.5</v>
      </c>
      <c r="G154" s="911">
        <v>7.5</v>
      </c>
      <c r="H154" s="832">
        <f t="shared" si="15"/>
        <v>0.54</v>
      </c>
      <c r="I154" s="714">
        <v>500</v>
      </c>
      <c r="J154" s="714">
        <f t="shared" si="12"/>
        <v>270</v>
      </c>
      <c r="K154" s="714">
        <f t="shared" si="13"/>
        <v>4408.0005606915111</v>
      </c>
      <c r="L154" s="629"/>
      <c r="M154" s="444"/>
      <c r="N154" s="737"/>
      <c r="O154" s="770"/>
      <c r="P154" s="948"/>
      <c r="Q154" s="739"/>
    </row>
    <row r="155" spans="1:17" ht="16.5" customHeight="1">
      <c r="A155" s="713">
        <f t="shared" si="14"/>
        <v>150</v>
      </c>
      <c r="B155" s="296" t="s">
        <v>720</v>
      </c>
      <c r="C155" s="728">
        <v>41912</v>
      </c>
      <c r="D155" s="728" t="s">
        <v>721</v>
      </c>
      <c r="E155" s="910">
        <v>45</v>
      </c>
      <c r="F155" s="911">
        <v>41</v>
      </c>
      <c r="G155" s="911">
        <v>44</v>
      </c>
      <c r="H155" s="832">
        <f t="shared" si="15"/>
        <v>1.56</v>
      </c>
      <c r="I155" s="714">
        <v>1000</v>
      </c>
      <c r="J155" s="714">
        <f t="shared" si="12"/>
        <v>1560</v>
      </c>
      <c r="K155" s="714">
        <f t="shared" si="13"/>
        <v>12734.223841997697</v>
      </c>
      <c r="L155" s="629"/>
      <c r="M155" s="444"/>
      <c r="N155" s="737"/>
      <c r="O155" s="770"/>
      <c r="P155" s="727"/>
      <c r="Q155" s="739"/>
    </row>
    <row r="156" spans="1:17" ht="16.5" customHeight="1">
      <c r="A156" s="713"/>
      <c r="B156" s="296"/>
      <c r="C156" s="729"/>
      <c r="D156" s="728"/>
      <c r="E156" s="25"/>
      <c r="F156" s="714"/>
      <c r="G156" s="714"/>
      <c r="H156" s="714"/>
      <c r="I156" s="714"/>
      <c r="J156" s="714"/>
      <c r="K156" s="714"/>
      <c r="L156" s="629"/>
      <c r="M156" s="444"/>
      <c r="N156" s="737"/>
      <c r="O156" s="770"/>
      <c r="P156" s="727"/>
      <c r="Q156" s="739"/>
    </row>
    <row r="157" spans="1:17" s="733" customFormat="1" ht="16.5" customHeight="1">
      <c r="A157" s="715"/>
      <c r="B157" s="716" t="s">
        <v>251</v>
      </c>
      <c r="C157" s="736"/>
      <c r="D157" s="828"/>
      <c r="E157" s="516"/>
      <c r="F157" s="516"/>
      <c r="G157" s="516"/>
      <c r="H157" s="836">
        <f>ROUND(SUM(H6:H156),2)</f>
        <v>162.36000000000001</v>
      </c>
      <c r="I157" s="516">
        <f>ROUND(SUM(I6:I156),2)</f>
        <v>111523</v>
      </c>
      <c r="J157" s="516">
        <f>ROUND(SUM(J6:J156),2)</f>
        <v>85180.53</v>
      </c>
      <c r="K157" s="516"/>
      <c r="L157" s="629"/>
      <c r="M157" s="444"/>
      <c r="N157" s="737"/>
      <c r="O157" s="770"/>
      <c r="P157" s="727"/>
      <c r="Q157" s="739"/>
    </row>
    <row r="158" spans="1:17" s="710" customFormat="1">
      <c r="A158" s="709"/>
      <c r="B158" s="709"/>
      <c r="C158" s="723"/>
      <c r="D158" s="824"/>
      <c r="E158" s="709"/>
      <c r="F158" s="709"/>
      <c r="G158" s="709"/>
      <c r="H158" s="709"/>
      <c r="I158" s="709"/>
      <c r="J158" s="709"/>
      <c r="K158" s="709"/>
      <c r="L158" s="629"/>
      <c r="M158" s="444"/>
      <c r="N158" s="737"/>
      <c r="O158" s="770"/>
      <c r="P158" s="727"/>
      <c r="Q158" s="739"/>
    </row>
    <row r="159" spans="1:17" s="710" customFormat="1">
      <c r="A159" s="717"/>
      <c r="B159" s="718"/>
      <c r="C159" s="723"/>
      <c r="D159" s="824"/>
      <c r="E159" s="711"/>
      <c r="F159" s="711"/>
      <c r="G159" s="711"/>
      <c r="H159" s="711"/>
      <c r="I159" s="711"/>
      <c r="J159" s="711"/>
      <c r="K159" s="711"/>
      <c r="L159" s="724"/>
      <c r="M159" s="444"/>
      <c r="N159" s="737"/>
      <c r="O159" s="770"/>
      <c r="P159" s="727"/>
      <c r="Q159" s="739"/>
    </row>
    <row r="160" spans="1:17" ht="18" hidden="1" customHeight="1">
      <c r="A160" s="552" t="str">
        <f>TH!$A$1</f>
        <v>Đơn vị: CÔNG TY TNHH SX TM KIM DUNG PHÁT</v>
      </c>
      <c r="B160" s="710"/>
      <c r="E160" s="293"/>
      <c r="F160" s="293"/>
      <c r="G160" s="293"/>
      <c r="H160" s="293"/>
      <c r="I160" s="566"/>
      <c r="J160" s="566"/>
      <c r="K160" s="293"/>
      <c r="L160" s="724"/>
      <c r="M160" s="444"/>
      <c r="N160" s="737"/>
      <c r="O160" s="770"/>
      <c r="P160" s="727"/>
      <c r="Q160" s="739"/>
    </row>
    <row r="161" spans="1:17" ht="18.75" customHeight="1">
      <c r="A161" s="711" t="s">
        <v>1266</v>
      </c>
      <c r="B161" s="711"/>
      <c r="E161" s="711"/>
      <c r="F161" s="711"/>
      <c r="G161" s="711"/>
      <c r="H161" s="711"/>
      <c r="I161" s="711"/>
      <c r="J161" s="711"/>
      <c r="K161" s="711"/>
      <c r="L161" s="724"/>
      <c r="M161" s="444"/>
      <c r="N161" s="737"/>
      <c r="O161" s="770"/>
      <c r="P161" s="727"/>
      <c r="Q161" s="739"/>
    </row>
    <row r="162" spans="1:17" ht="13.5" customHeight="1">
      <c r="A162" s="711"/>
      <c r="B162" s="712"/>
      <c r="E162" s="712"/>
      <c r="F162" s="712"/>
      <c r="G162" s="712"/>
      <c r="H162" s="712"/>
      <c r="I162" s="725"/>
      <c r="J162" s="725"/>
      <c r="K162" s="712"/>
      <c r="L162" s="724"/>
      <c r="M162" s="444"/>
      <c r="N162" s="737"/>
      <c r="O162" s="770"/>
      <c r="P162" s="727"/>
      <c r="Q162" s="739"/>
    </row>
    <row r="163" spans="1:17" s="441" customFormat="1" ht="21" customHeight="1">
      <c r="A163" s="1126" t="s">
        <v>35</v>
      </c>
      <c r="B163" s="1126" t="s">
        <v>242</v>
      </c>
      <c r="C163" s="1126" t="s">
        <v>1246</v>
      </c>
      <c r="D163" s="1126" t="s">
        <v>1247</v>
      </c>
      <c r="E163" s="1132" t="s">
        <v>1248</v>
      </c>
      <c r="F163" s="1133"/>
      <c r="G163" s="1133"/>
      <c r="H163" s="1134"/>
      <c r="I163" s="1126" t="s">
        <v>243</v>
      </c>
      <c r="J163" s="1130" t="s">
        <v>1249</v>
      </c>
      <c r="K163" s="1126" t="s">
        <v>1250</v>
      </c>
      <c r="L163" s="440"/>
      <c r="M163" s="1126" t="s">
        <v>242</v>
      </c>
      <c r="N163" s="1126" t="s">
        <v>1251</v>
      </c>
      <c r="O163" s="1126" t="s">
        <v>201</v>
      </c>
      <c r="P163" s="1126" t="s">
        <v>244</v>
      </c>
      <c r="Q163" s="1126" t="s">
        <v>250</v>
      </c>
    </row>
    <row r="164" spans="1:17" s="441" customFormat="1" ht="26.25" customHeight="1">
      <c r="A164" s="1126"/>
      <c r="B164" s="1126"/>
      <c r="C164" s="1126"/>
      <c r="D164" s="1126"/>
      <c r="E164" s="766" t="s">
        <v>1252</v>
      </c>
      <c r="F164" s="766" t="s">
        <v>1253</v>
      </c>
      <c r="G164" s="766" t="s">
        <v>1254</v>
      </c>
      <c r="H164" s="437" t="s">
        <v>1255</v>
      </c>
      <c r="I164" s="1126"/>
      <c r="J164" s="1131"/>
      <c r="K164" s="1126"/>
      <c r="L164" s="440"/>
      <c r="M164" s="1126"/>
      <c r="N164" s="1126"/>
      <c r="O164" s="1126"/>
      <c r="P164" s="1126"/>
      <c r="Q164" s="1126"/>
    </row>
    <row r="165" spans="1:17" ht="16.5" customHeight="1">
      <c r="A165" s="713">
        <v>1</v>
      </c>
      <c r="B165" s="296" t="s">
        <v>723</v>
      </c>
      <c r="C165" s="728">
        <v>41918</v>
      </c>
      <c r="D165" s="728" t="s">
        <v>724</v>
      </c>
      <c r="E165" s="910">
        <v>90</v>
      </c>
      <c r="F165" s="911">
        <v>56</v>
      </c>
      <c r="G165" s="911">
        <v>21</v>
      </c>
      <c r="H165" s="832">
        <f>IF(G165&lt;&gt;"",ROUND(((E165+F165)*2+5)*(F165+G165+3)/10000,2),ROUND(E165*F165/10000,2))</f>
        <v>2.38</v>
      </c>
      <c r="I165" s="714">
        <v>218</v>
      </c>
      <c r="J165" s="714">
        <f t="shared" ref="J165" si="16">H165*I165</f>
        <v>518.84</v>
      </c>
      <c r="K165" s="714">
        <f t="shared" ref="K165:K196" si="17">H165*$Q$198</f>
        <v>19576.720447858519</v>
      </c>
      <c r="L165" s="629"/>
      <c r="M165" s="192" t="s">
        <v>1016</v>
      </c>
      <c r="N165" s="184">
        <v>41913</v>
      </c>
      <c r="O165" s="259">
        <v>1777</v>
      </c>
      <c r="P165" s="259">
        <v>9450</v>
      </c>
      <c r="Q165" s="8">
        <f t="shared" ref="Q165" si="18">ROUND(O165*P165,0)</f>
        <v>16792650</v>
      </c>
    </row>
    <row r="166" spans="1:17" ht="16.5" customHeight="1">
      <c r="A166" s="713">
        <f t="shared" ref="A166:A228" si="19">IF(B166&lt;&gt;"",A165+1,"")</f>
        <v>2</v>
      </c>
      <c r="B166" s="296" t="s">
        <v>747</v>
      </c>
      <c r="C166" s="728">
        <v>41918</v>
      </c>
      <c r="D166" s="728" t="s">
        <v>724</v>
      </c>
      <c r="E166" s="910">
        <v>60</v>
      </c>
      <c r="F166" s="911">
        <v>25</v>
      </c>
      <c r="G166" s="911"/>
      <c r="H166" s="832">
        <f t="shared" ref="H166:H229" si="20">IF(G166&lt;&gt;"",ROUND(((E166+F166)*2+5)*(F166+G166+3)/10000,2),ROUND(E166*F166/10000,2))</f>
        <v>0.15</v>
      </c>
      <c r="I166" s="714">
        <v>436</v>
      </c>
      <c r="J166" s="714">
        <f t="shared" ref="J166:J229" si="21">H166*I166</f>
        <v>65.399999999999991</v>
      </c>
      <c r="K166" s="714">
        <f t="shared" si="17"/>
        <v>1233.8269189826799</v>
      </c>
      <c r="L166" s="629"/>
      <c r="M166" s="296" t="s">
        <v>1084</v>
      </c>
      <c r="N166" s="184">
        <v>41917</v>
      </c>
      <c r="O166" s="256">
        <v>1629</v>
      </c>
      <c r="P166" s="256">
        <v>9500</v>
      </c>
      <c r="Q166" s="8">
        <f t="shared" ref="Q166:Q178" si="22">ROUND(O166*P166,0)</f>
        <v>15475500</v>
      </c>
    </row>
    <row r="167" spans="1:17" ht="16.5" customHeight="1">
      <c r="A167" s="713">
        <f t="shared" si="19"/>
        <v>3</v>
      </c>
      <c r="B167" s="296" t="s">
        <v>725</v>
      </c>
      <c r="C167" s="728">
        <v>41918</v>
      </c>
      <c r="D167" s="728" t="s">
        <v>726</v>
      </c>
      <c r="E167" s="910">
        <v>36.5</v>
      </c>
      <c r="F167" s="911">
        <v>18.5</v>
      </c>
      <c r="G167" s="911">
        <v>20.5</v>
      </c>
      <c r="H167" s="832">
        <f t="shared" si="20"/>
        <v>0.48</v>
      </c>
      <c r="I167" s="714">
        <v>267</v>
      </c>
      <c r="J167" s="714">
        <f t="shared" si="21"/>
        <v>128.16</v>
      </c>
      <c r="K167" s="714">
        <f t="shared" si="17"/>
        <v>3948.2461407445753</v>
      </c>
      <c r="L167" s="629"/>
      <c r="M167" s="192" t="s">
        <v>1080</v>
      </c>
      <c r="N167" s="184">
        <v>41917</v>
      </c>
      <c r="O167" s="256">
        <v>1663</v>
      </c>
      <c r="P167" s="256">
        <v>7200</v>
      </c>
      <c r="Q167" s="8">
        <f t="shared" si="22"/>
        <v>11973600</v>
      </c>
    </row>
    <row r="168" spans="1:17" ht="16.5" customHeight="1">
      <c r="A168" s="713">
        <f t="shared" si="19"/>
        <v>4</v>
      </c>
      <c r="B168" s="296" t="s">
        <v>727</v>
      </c>
      <c r="C168" s="728">
        <v>41918</v>
      </c>
      <c r="D168" s="728" t="s">
        <v>726</v>
      </c>
      <c r="E168" s="910">
        <v>44</v>
      </c>
      <c r="F168" s="911">
        <v>18</v>
      </c>
      <c r="G168" s="911">
        <v>38</v>
      </c>
      <c r="H168" s="832">
        <f t="shared" si="20"/>
        <v>0.76</v>
      </c>
      <c r="I168" s="714">
        <v>120</v>
      </c>
      <c r="J168" s="714">
        <f t="shared" si="21"/>
        <v>91.2</v>
      </c>
      <c r="K168" s="714">
        <f t="shared" si="17"/>
        <v>6251.389722845578</v>
      </c>
      <c r="L168" s="629"/>
      <c r="M168" s="192" t="s">
        <v>1080</v>
      </c>
      <c r="N168" s="37">
        <v>41927</v>
      </c>
      <c r="O168" s="256">
        <v>1821</v>
      </c>
      <c r="P168" s="256">
        <v>7500</v>
      </c>
      <c r="Q168" s="8">
        <f t="shared" si="22"/>
        <v>13657500</v>
      </c>
    </row>
    <row r="169" spans="1:17" ht="16.5" customHeight="1">
      <c r="A169" s="713">
        <f t="shared" si="19"/>
        <v>5</v>
      </c>
      <c r="B169" s="296" t="s">
        <v>728</v>
      </c>
      <c r="C169" s="728">
        <v>41918</v>
      </c>
      <c r="D169" s="728" t="s">
        <v>726</v>
      </c>
      <c r="E169" s="910">
        <v>56</v>
      </c>
      <c r="F169" s="911">
        <v>28</v>
      </c>
      <c r="G169" s="911">
        <v>7</v>
      </c>
      <c r="H169" s="832">
        <f t="shared" si="20"/>
        <v>0.66</v>
      </c>
      <c r="I169" s="714">
        <v>230</v>
      </c>
      <c r="J169" s="714">
        <f t="shared" si="21"/>
        <v>151.80000000000001</v>
      </c>
      <c r="K169" s="714">
        <f t="shared" si="17"/>
        <v>5428.8384435237913</v>
      </c>
      <c r="L169" s="629"/>
      <c r="M169" s="192" t="s">
        <v>1016</v>
      </c>
      <c r="N169" s="37">
        <v>41927</v>
      </c>
      <c r="O169" s="256">
        <v>4879</v>
      </c>
      <c r="P169" s="256">
        <v>9600</v>
      </c>
      <c r="Q169" s="8">
        <f t="shared" si="22"/>
        <v>46838400</v>
      </c>
    </row>
    <row r="170" spans="1:17" ht="16.5" customHeight="1">
      <c r="A170" s="713">
        <f t="shared" si="19"/>
        <v>6</v>
      </c>
      <c r="B170" s="296" t="s">
        <v>729</v>
      </c>
      <c r="C170" s="728">
        <v>41918</v>
      </c>
      <c r="D170" s="728" t="s">
        <v>726</v>
      </c>
      <c r="E170" s="910">
        <v>46</v>
      </c>
      <c r="F170" s="911">
        <v>23</v>
      </c>
      <c r="G170" s="911">
        <v>7</v>
      </c>
      <c r="H170" s="832">
        <f t="shared" si="20"/>
        <v>0.47</v>
      </c>
      <c r="I170" s="714">
        <v>230</v>
      </c>
      <c r="J170" s="714">
        <f t="shared" si="21"/>
        <v>108.1</v>
      </c>
      <c r="K170" s="714">
        <f t="shared" si="17"/>
        <v>3865.9910128123965</v>
      </c>
      <c r="L170" s="629"/>
      <c r="M170" s="192" t="s">
        <v>1080</v>
      </c>
      <c r="N170" s="184">
        <v>41933</v>
      </c>
      <c r="O170" s="256">
        <v>14240</v>
      </c>
      <c r="P170" s="256">
        <v>8500</v>
      </c>
      <c r="Q170" s="8">
        <f t="shared" si="22"/>
        <v>121040000</v>
      </c>
    </row>
    <row r="171" spans="1:17" ht="16.5" customHeight="1">
      <c r="A171" s="713">
        <f t="shared" si="19"/>
        <v>7</v>
      </c>
      <c r="B171" s="296" t="s">
        <v>516</v>
      </c>
      <c r="C171" s="728">
        <v>41922</v>
      </c>
      <c r="D171" s="728" t="s">
        <v>731</v>
      </c>
      <c r="E171" s="910">
        <v>59</v>
      </c>
      <c r="F171" s="911">
        <v>38</v>
      </c>
      <c r="G171" s="911">
        <v>17</v>
      </c>
      <c r="H171" s="832">
        <f t="shared" si="20"/>
        <v>1.1499999999999999</v>
      </c>
      <c r="I171" s="714">
        <v>1996</v>
      </c>
      <c r="J171" s="714">
        <f t="shared" si="21"/>
        <v>2295.3999999999996</v>
      </c>
      <c r="K171" s="714">
        <f t="shared" si="17"/>
        <v>9459.3397122005445</v>
      </c>
      <c r="L171" s="629"/>
      <c r="M171" s="296" t="s">
        <v>1016</v>
      </c>
      <c r="N171" s="184">
        <v>41933</v>
      </c>
      <c r="O171" s="256">
        <v>5508</v>
      </c>
      <c r="P171" s="256">
        <v>9600</v>
      </c>
      <c r="Q171" s="8">
        <f t="shared" si="22"/>
        <v>52876800</v>
      </c>
    </row>
    <row r="172" spans="1:17" ht="16.5" customHeight="1">
      <c r="A172" s="713">
        <f t="shared" si="19"/>
        <v>8</v>
      </c>
      <c r="B172" s="296" t="s">
        <v>732</v>
      </c>
      <c r="C172" s="728">
        <v>41922</v>
      </c>
      <c r="D172" s="728" t="s">
        <v>733</v>
      </c>
      <c r="E172" s="910">
        <v>50</v>
      </c>
      <c r="F172" s="911">
        <v>25</v>
      </c>
      <c r="G172" s="911">
        <v>36.5</v>
      </c>
      <c r="H172" s="832">
        <f t="shared" si="20"/>
        <v>1</v>
      </c>
      <c r="I172" s="714">
        <v>600</v>
      </c>
      <c r="J172" s="714">
        <f t="shared" si="21"/>
        <v>600</v>
      </c>
      <c r="K172" s="714">
        <f t="shared" si="17"/>
        <v>8225.5127932178657</v>
      </c>
      <c r="L172" s="629"/>
      <c r="M172" s="192" t="s">
        <v>1016</v>
      </c>
      <c r="N172" s="184">
        <v>41939</v>
      </c>
      <c r="O172" s="256">
        <v>5195</v>
      </c>
      <c r="P172" s="256">
        <v>9600</v>
      </c>
      <c r="Q172" s="8">
        <f t="shared" si="22"/>
        <v>49872000</v>
      </c>
    </row>
    <row r="173" spans="1:17" ht="16.5" customHeight="1">
      <c r="A173" s="713">
        <f t="shared" si="19"/>
        <v>9</v>
      </c>
      <c r="B173" s="296" t="s">
        <v>663</v>
      </c>
      <c r="C173" s="728">
        <v>41922</v>
      </c>
      <c r="D173" s="728" t="s">
        <v>735</v>
      </c>
      <c r="E173" s="910">
        <v>39</v>
      </c>
      <c r="F173" s="911">
        <v>25</v>
      </c>
      <c r="G173" s="911">
        <v>44</v>
      </c>
      <c r="H173" s="832">
        <f t="shared" si="20"/>
        <v>0.96</v>
      </c>
      <c r="I173" s="714">
        <v>1932</v>
      </c>
      <c r="J173" s="714">
        <f t="shared" si="21"/>
        <v>1854.72</v>
      </c>
      <c r="K173" s="714">
        <f t="shared" si="17"/>
        <v>7896.4922814891506</v>
      </c>
      <c r="L173" s="629"/>
      <c r="M173" s="192" t="s">
        <v>1016</v>
      </c>
      <c r="N173" s="184">
        <v>41944</v>
      </c>
      <c r="O173" s="256">
        <v>6242</v>
      </c>
      <c r="P173" s="256">
        <v>9600</v>
      </c>
      <c r="Q173" s="8">
        <f t="shared" si="22"/>
        <v>59923200</v>
      </c>
    </row>
    <row r="174" spans="1:17" ht="16.5" customHeight="1">
      <c r="A174" s="713">
        <f t="shared" si="19"/>
        <v>10</v>
      </c>
      <c r="B174" s="296" t="s">
        <v>663</v>
      </c>
      <c r="C174" s="728">
        <v>41922</v>
      </c>
      <c r="D174" s="728" t="s">
        <v>735</v>
      </c>
      <c r="E174" s="910">
        <v>39</v>
      </c>
      <c r="F174" s="911">
        <v>25</v>
      </c>
      <c r="G174" s="911">
        <v>44</v>
      </c>
      <c r="H174" s="832">
        <f t="shared" si="20"/>
        <v>0.96</v>
      </c>
      <c r="I174" s="714">
        <v>593</v>
      </c>
      <c r="J174" s="714">
        <f t="shared" si="21"/>
        <v>569.28</v>
      </c>
      <c r="K174" s="714">
        <f t="shared" si="17"/>
        <v>7896.4922814891506</v>
      </c>
      <c r="L174" s="629"/>
      <c r="M174" s="192" t="s">
        <v>1016</v>
      </c>
      <c r="N174" s="184">
        <v>41950</v>
      </c>
      <c r="O174" s="259">
        <v>3526</v>
      </c>
      <c r="P174" s="259">
        <v>9600</v>
      </c>
      <c r="Q174" s="8">
        <f t="shared" si="22"/>
        <v>33849600</v>
      </c>
    </row>
    <row r="175" spans="1:17" ht="16.5" customHeight="1">
      <c r="A175" s="713">
        <f t="shared" si="19"/>
        <v>11</v>
      </c>
      <c r="B175" s="296" t="s">
        <v>736</v>
      </c>
      <c r="C175" s="728">
        <v>41922</v>
      </c>
      <c r="D175" s="728" t="s">
        <v>735</v>
      </c>
      <c r="E175" s="910">
        <v>39</v>
      </c>
      <c r="F175" s="911">
        <v>25</v>
      </c>
      <c r="G175" s="911">
        <v>33</v>
      </c>
      <c r="H175" s="832">
        <f t="shared" si="20"/>
        <v>0.81</v>
      </c>
      <c r="I175" s="714">
        <v>314</v>
      </c>
      <c r="J175" s="714">
        <f t="shared" si="21"/>
        <v>254.34</v>
      </c>
      <c r="K175" s="714">
        <f t="shared" si="17"/>
        <v>6662.6653625064719</v>
      </c>
      <c r="L175" s="629"/>
      <c r="M175" s="192" t="s">
        <v>1080</v>
      </c>
      <c r="N175" s="191">
        <v>41961</v>
      </c>
      <c r="O175" s="259">
        <f>8880+1210</f>
        <v>10090</v>
      </c>
      <c r="P175" s="259">
        <v>8500</v>
      </c>
      <c r="Q175" s="8">
        <f t="shared" si="22"/>
        <v>85765000</v>
      </c>
    </row>
    <row r="176" spans="1:17" ht="16.5" customHeight="1">
      <c r="A176" s="713">
        <f t="shared" si="19"/>
        <v>12</v>
      </c>
      <c r="B176" s="296" t="s">
        <v>663</v>
      </c>
      <c r="C176" s="728">
        <v>41922</v>
      </c>
      <c r="D176" s="728" t="s">
        <v>735</v>
      </c>
      <c r="E176" s="910">
        <v>39</v>
      </c>
      <c r="F176" s="911">
        <v>25</v>
      </c>
      <c r="G176" s="911">
        <v>44</v>
      </c>
      <c r="H176" s="832">
        <f t="shared" si="20"/>
        <v>0.96</v>
      </c>
      <c r="I176" s="714">
        <v>173</v>
      </c>
      <c r="J176" s="714">
        <f t="shared" si="21"/>
        <v>166.07999999999998</v>
      </c>
      <c r="K176" s="714">
        <f t="shared" si="17"/>
        <v>7896.4922814891506</v>
      </c>
      <c r="L176" s="629"/>
      <c r="M176" s="296" t="s">
        <v>1109</v>
      </c>
      <c r="N176" s="191">
        <v>41964</v>
      </c>
      <c r="O176" s="256">
        <v>2032</v>
      </c>
      <c r="P176" s="256">
        <v>11600</v>
      </c>
      <c r="Q176" s="8">
        <f t="shared" si="22"/>
        <v>23571200</v>
      </c>
    </row>
    <row r="177" spans="1:17" ht="16.5" customHeight="1">
      <c r="A177" s="713">
        <f t="shared" si="19"/>
        <v>13</v>
      </c>
      <c r="B177" s="296" t="s">
        <v>663</v>
      </c>
      <c r="C177" s="728">
        <v>41922</v>
      </c>
      <c r="D177" s="728" t="s">
        <v>735</v>
      </c>
      <c r="E177" s="910">
        <v>39</v>
      </c>
      <c r="F177" s="911">
        <v>25</v>
      </c>
      <c r="G177" s="911">
        <v>44</v>
      </c>
      <c r="H177" s="832">
        <f t="shared" si="20"/>
        <v>0.96</v>
      </c>
      <c r="I177" s="714">
        <v>287</v>
      </c>
      <c r="J177" s="714">
        <f t="shared" si="21"/>
        <v>275.52</v>
      </c>
      <c r="K177" s="714">
        <f t="shared" si="17"/>
        <v>7896.4922814891506</v>
      </c>
      <c r="L177" s="629"/>
      <c r="M177" s="296" t="s">
        <v>1016</v>
      </c>
      <c r="N177" s="191">
        <v>41974</v>
      </c>
      <c r="O177" s="256">
        <v>4756</v>
      </c>
      <c r="P177" s="256">
        <v>9600</v>
      </c>
      <c r="Q177" s="8">
        <f t="shared" si="22"/>
        <v>45657600</v>
      </c>
    </row>
    <row r="178" spans="1:17" ht="16.5" customHeight="1">
      <c r="A178" s="713">
        <f t="shared" si="19"/>
        <v>14</v>
      </c>
      <c r="B178" s="296" t="s">
        <v>736</v>
      </c>
      <c r="C178" s="728">
        <v>41922</v>
      </c>
      <c r="D178" s="728" t="s">
        <v>735</v>
      </c>
      <c r="E178" s="910">
        <v>39</v>
      </c>
      <c r="F178" s="911">
        <v>25</v>
      </c>
      <c r="G178" s="911">
        <v>33</v>
      </c>
      <c r="H178" s="832">
        <f t="shared" si="20"/>
        <v>0.81</v>
      </c>
      <c r="I178" s="714">
        <v>454</v>
      </c>
      <c r="J178" s="714">
        <f t="shared" si="21"/>
        <v>367.74</v>
      </c>
      <c r="K178" s="714">
        <f t="shared" si="17"/>
        <v>6662.6653625064719</v>
      </c>
      <c r="L178" s="629"/>
      <c r="M178" s="192" t="s">
        <v>1113</v>
      </c>
      <c r="N178" s="191">
        <v>41988</v>
      </c>
      <c r="O178" s="256">
        <v>1305</v>
      </c>
      <c r="P178" s="256">
        <v>9600</v>
      </c>
      <c r="Q178" s="8">
        <f t="shared" si="22"/>
        <v>12528000</v>
      </c>
    </row>
    <row r="179" spans="1:17" ht="16.5" customHeight="1">
      <c r="A179" s="713">
        <f t="shared" si="19"/>
        <v>15</v>
      </c>
      <c r="B179" s="296" t="s">
        <v>736</v>
      </c>
      <c r="C179" s="728">
        <v>41922</v>
      </c>
      <c r="D179" s="728" t="s">
        <v>735</v>
      </c>
      <c r="E179" s="910">
        <v>39</v>
      </c>
      <c r="F179" s="911">
        <v>25</v>
      </c>
      <c r="G179" s="911">
        <v>33</v>
      </c>
      <c r="H179" s="832">
        <f t="shared" si="20"/>
        <v>0.81</v>
      </c>
      <c r="I179" s="714">
        <v>160</v>
      </c>
      <c r="J179" s="714">
        <f t="shared" si="21"/>
        <v>129.60000000000002</v>
      </c>
      <c r="K179" s="714">
        <f t="shared" si="17"/>
        <v>6662.6653625064719</v>
      </c>
      <c r="L179" s="629"/>
      <c r="M179" s="443"/>
      <c r="N179" s="728"/>
      <c r="O179" s="767"/>
      <c r="P179" s="754"/>
      <c r="Q179" s="8"/>
    </row>
    <row r="180" spans="1:17" ht="16.5" customHeight="1">
      <c r="A180" s="713">
        <f t="shared" si="19"/>
        <v>16</v>
      </c>
      <c r="B180" s="296" t="s">
        <v>624</v>
      </c>
      <c r="C180" s="728">
        <v>41922</v>
      </c>
      <c r="D180" s="728" t="s">
        <v>735</v>
      </c>
      <c r="E180" s="910">
        <v>30</v>
      </c>
      <c r="F180" s="911">
        <v>20</v>
      </c>
      <c r="G180" s="911"/>
      <c r="H180" s="832">
        <f t="shared" si="20"/>
        <v>0.06</v>
      </c>
      <c r="I180" s="714">
        <v>4800</v>
      </c>
      <c r="J180" s="714">
        <f t="shared" si="21"/>
        <v>288</v>
      </c>
      <c r="K180" s="714">
        <f t="shared" si="17"/>
        <v>493.53076759307191</v>
      </c>
      <c r="L180" s="629"/>
      <c r="M180" s="833" t="s">
        <v>1256</v>
      </c>
      <c r="N180" s="834"/>
      <c r="O180" s="835"/>
      <c r="P180" s="516"/>
      <c r="Q180" s="516">
        <f>SUM(Q165:Q179)</f>
        <v>589821050</v>
      </c>
    </row>
    <row r="181" spans="1:17" ht="16.5" customHeight="1">
      <c r="A181" s="713">
        <f t="shared" si="19"/>
        <v>17</v>
      </c>
      <c r="B181" s="296" t="s">
        <v>707</v>
      </c>
      <c r="C181" s="728">
        <v>41926</v>
      </c>
      <c r="D181" s="728" t="s">
        <v>737</v>
      </c>
      <c r="E181" s="910">
        <v>36.5</v>
      </c>
      <c r="F181" s="911">
        <v>36.5</v>
      </c>
      <c r="G181" s="911">
        <v>25</v>
      </c>
      <c r="H181" s="832">
        <f t="shared" si="20"/>
        <v>0.97</v>
      </c>
      <c r="I181" s="714">
        <v>1635</v>
      </c>
      <c r="J181" s="714">
        <f t="shared" si="21"/>
        <v>1585.95</v>
      </c>
      <c r="K181" s="714">
        <f t="shared" si="17"/>
        <v>7978.7474094213294</v>
      </c>
      <c r="L181" s="629"/>
      <c r="M181" s="189" t="s">
        <v>1132</v>
      </c>
      <c r="N181" s="37">
        <v>41914</v>
      </c>
      <c r="O181" s="754">
        <v>110</v>
      </c>
      <c r="P181" s="754">
        <v>360000</v>
      </c>
      <c r="Q181" s="8">
        <f t="shared" ref="Q181:Q186" si="23">ROUND(O181*P181,0)</f>
        <v>39600000</v>
      </c>
    </row>
    <row r="182" spans="1:17" ht="16.5" customHeight="1">
      <c r="A182" s="713">
        <f t="shared" si="19"/>
        <v>18</v>
      </c>
      <c r="B182" s="296" t="s">
        <v>495</v>
      </c>
      <c r="C182" s="728">
        <v>41926</v>
      </c>
      <c r="D182" s="728" t="s">
        <v>738</v>
      </c>
      <c r="E182" s="910">
        <v>42</v>
      </c>
      <c r="F182" s="911">
        <v>24</v>
      </c>
      <c r="G182" s="911">
        <v>33</v>
      </c>
      <c r="H182" s="832">
        <f t="shared" si="20"/>
        <v>0.82</v>
      </c>
      <c r="I182" s="714">
        <v>197</v>
      </c>
      <c r="J182" s="714">
        <f t="shared" si="21"/>
        <v>161.54</v>
      </c>
      <c r="K182" s="714">
        <f t="shared" si="17"/>
        <v>6744.9204904386497</v>
      </c>
      <c r="L182" s="629"/>
      <c r="M182" s="189" t="s">
        <v>1021</v>
      </c>
      <c r="N182" s="37">
        <v>41914</v>
      </c>
      <c r="O182" s="754">
        <v>1500</v>
      </c>
      <c r="P182" s="754">
        <v>11000</v>
      </c>
      <c r="Q182" s="8">
        <f t="shared" si="23"/>
        <v>16500000</v>
      </c>
    </row>
    <row r="183" spans="1:17" ht="16.5" customHeight="1">
      <c r="A183" s="713">
        <f t="shared" si="19"/>
        <v>19</v>
      </c>
      <c r="B183" s="296" t="s">
        <v>513</v>
      </c>
      <c r="C183" s="728">
        <v>41926</v>
      </c>
      <c r="D183" s="728" t="s">
        <v>738</v>
      </c>
      <c r="E183" s="910">
        <v>32.5</v>
      </c>
      <c r="F183" s="911">
        <v>32.5</v>
      </c>
      <c r="G183" s="911">
        <v>16</v>
      </c>
      <c r="H183" s="832">
        <f t="shared" si="20"/>
        <v>0.7</v>
      </c>
      <c r="I183" s="714">
        <v>300</v>
      </c>
      <c r="J183" s="714">
        <f t="shared" si="21"/>
        <v>210</v>
      </c>
      <c r="K183" s="714">
        <f t="shared" si="17"/>
        <v>5757.8589552525054</v>
      </c>
      <c r="L183" s="629"/>
      <c r="M183" s="443" t="s">
        <v>1327</v>
      </c>
      <c r="N183" s="37">
        <v>41919</v>
      </c>
      <c r="O183" s="754">
        <v>100</v>
      </c>
      <c r="P183" s="754">
        <v>17500</v>
      </c>
      <c r="Q183" s="8">
        <f t="shared" si="23"/>
        <v>1750000</v>
      </c>
    </row>
    <row r="184" spans="1:17" ht="16.5" customHeight="1">
      <c r="A184" s="713">
        <f t="shared" si="19"/>
        <v>20</v>
      </c>
      <c r="B184" s="296" t="s">
        <v>739</v>
      </c>
      <c r="C184" s="728">
        <v>41926</v>
      </c>
      <c r="D184" s="728" t="s">
        <v>738</v>
      </c>
      <c r="E184" s="910">
        <v>12</v>
      </c>
      <c r="F184" s="911">
        <v>12</v>
      </c>
      <c r="G184" s="911">
        <v>12</v>
      </c>
      <c r="H184" s="832">
        <f t="shared" si="20"/>
        <v>0.14000000000000001</v>
      </c>
      <c r="I184" s="714">
        <v>42</v>
      </c>
      <c r="J184" s="714">
        <f t="shared" si="21"/>
        <v>5.8800000000000008</v>
      </c>
      <c r="K184" s="714">
        <f t="shared" si="17"/>
        <v>1151.5717910505014</v>
      </c>
      <c r="L184" s="629"/>
      <c r="M184" s="189" t="s">
        <v>350</v>
      </c>
      <c r="N184" s="37">
        <v>41922</v>
      </c>
      <c r="O184" s="754">
        <v>150</v>
      </c>
      <c r="P184" s="754">
        <v>20454</v>
      </c>
      <c r="Q184" s="8">
        <f t="shared" si="23"/>
        <v>3068100</v>
      </c>
    </row>
    <row r="185" spans="1:17" ht="16.5" customHeight="1">
      <c r="A185" s="713">
        <f t="shared" si="19"/>
        <v>21</v>
      </c>
      <c r="B185" s="296" t="s">
        <v>487</v>
      </c>
      <c r="C185" s="728">
        <v>41926</v>
      </c>
      <c r="D185" s="728" t="s">
        <v>738</v>
      </c>
      <c r="E185" s="910">
        <v>41</v>
      </c>
      <c r="F185" s="911">
        <v>31</v>
      </c>
      <c r="G185" s="911">
        <v>25.5</v>
      </c>
      <c r="H185" s="832">
        <f t="shared" si="20"/>
        <v>0.89</v>
      </c>
      <c r="I185" s="714">
        <v>297</v>
      </c>
      <c r="J185" s="714">
        <f t="shared" si="21"/>
        <v>264.33</v>
      </c>
      <c r="K185" s="714">
        <f t="shared" si="17"/>
        <v>7320.7063859639002</v>
      </c>
      <c r="L185" s="629"/>
      <c r="M185" s="189" t="s">
        <v>330</v>
      </c>
      <c r="N185" s="37">
        <v>41943</v>
      </c>
      <c r="O185" s="754">
        <v>24</v>
      </c>
      <c r="P185" s="754">
        <v>45000</v>
      </c>
      <c r="Q185" s="8">
        <f t="shared" si="23"/>
        <v>1080000</v>
      </c>
    </row>
    <row r="186" spans="1:17" ht="16.5" customHeight="1">
      <c r="A186" s="713">
        <f t="shared" si="19"/>
        <v>22</v>
      </c>
      <c r="B186" s="296" t="s">
        <v>740</v>
      </c>
      <c r="C186" s="728">
        <v>41926</v>
      </c>
      <c r="D186" s="728" t="s">
        <v>741</v>
      </c>
      <c r="E186" s="910">
        <v>51</v>
      </c>
      <c r="F186" s="911">
        <v>31</v>
      </c>
      <c r="G186" s="911">
        <v>27</v>
      </c>
      <c r="H186" s="832">
        <f t="shared" si="20"/>
        <v>1.03</v>
      </c>
      <c r="I186" s="714">
        <v>135</v>
      </c>
      <c r="J186" s="714">
        <f t="shared" si="21"/>
        <v>139.05000000000001</v>
      </c>
      <c r="K186" s="714">
        <f t="shared" si="17"/>
        <v>8472.2781770144011</v>
      </c>
      <c r="L186" s="629"/>
      <c r="M186" s="189" t="s">
        <v>330</v>
      </c>
      <c r="N186" s="37">
        <v>41993</v>
      </c>
      <c r="O186" s="754">
        <v>24</v>
      </c>
      <c r="P186" s="754">
        <v>45000</v>
      </c>
      <c r="Q186" s="8">
        <f t="shared" si="23"/>
        <v>1080000</v>
      </c>
    </row>
    <row r="187" spans="1:17" ht="16.5" customHeight="1">
      <c r="A187" s="713">
        <f t="shared" si="19"/>
        <v>23</v>
      </c>
      <c r="B187" s="296" t="s">
        <v>740</v>
      </c>
      <c r="C187" s="728">
        <v>41926</v>
      </c>
      <c r="D187" s="728" t="s">
        <v>741</v>
      </c>
      <c r="E187" s="910">
        <v>51</v>
      </c>
      <c r="F187" s="911">
        <v>31</v>
      </c>
      <c r="G187" s="911">
        <v>27</v>
      </c>
      <c r="H187" s="832">
        <f t="shared" si="20"/>
        <v>1.03</v>
      </c>
      <c r="I187" s="714">
        <v>280</v>
      </c>
      <c r="J187" s="714">
        <f t="shared" si="21"/>
        <v>288.40000000000003</v>
      </c>
      <c r="K187" s="714">
        <f t="shared" si="17"/>
        <v>8472.2781770144011</v>
      </c>
      <c r="L187" s="629"/>
      <c r="M187" s="443"/>
      <c r="N187" s="728"/>
      <c r="O187" s="767"/>
      <c r="P187" s="754"/>
      <c r="Q187" s="8"/>
    </row>
    <row r="188" spans="1:17" ht="16.5" customHeight="1">
      <c r="A188" s="713">
        <f t="shared" si="19"/>
        <v>24</v>
      </c>
      <c r="B188" s="296" t="s">
        <v>742</v>
      </c>
      <c r="C188" s="728">
        <v>41928</v>
      </c>
      <c r="D188" s="728" t="s">
        <v>743</v>
      </c>
      <c r="E188" s="910">
        <v>37.5</v>
      </c>
      <c r="F188" s="911">
        <v>25.3</v>
      </c>
      <c r="G188" s="911">
        <v>23.9</v>
      </c>
      <c r="H188" s="832">
        <f t="shared" si="20"/>
        <v>0.68</v>
      </c>
      <c r="I188" s="714">
        <v>2960</v>
      </c>
      <c r="J188" s="714">
        <f t="shared" si="21"/>
        <v>2012.8000000000002</v>
      </c>
      <c r="K188" s="714">
        <f t="shared" si="17"/>
        <v>5593.3486993881488</v>
      </c>
      <c r="L188" s="629"/>
      <c r="M188" s="833" t="s">
        <v>1257</v>
      </c>
      <c r="N188" s="834"/>
      <c r="O188" s="835"/>
      <c r="P188" s="516"/>
      <c r="Q188" s="516">
        <f>SUM(Q181:Q187)</f>
        <v>63078100</v>
      </c>
    </row>
    <row r="189" spans="1:17" ht="16.5" customHeight="1">
      <c r="A189" s="713">
        <f t="shared" si="19"/>
        <v>25</v>
      </c>
      <c r="B189" s="296" t="s">
        <v>613</v>
      </c>
      <c r="C189" s="728">
        <v>41929</v>
      </c>
      <c r="D189" s="728" t="s">
        <v>744</v>
      </c>
      <c r="E189" s="910">
        <v>33.700000000000003</v>
      </c>
      <c r="F189" s="911">
        <v>22.7</v>
      </c>
      <c r="G189" s="911">
        <v>19.3</v>
      </c>
      <c r="H189" s="832">
        <f t="shared" si="20"/>
        <v>0.53</v>
      </c>
      <c r="I189" s="714">
        <v>500</v>
      </c>
      <c r="J189" s="714">
        <f t="shared" si="21"/>
        <v>265</v>
      </c>
      <c r="K189" s="714">
        <f t="shared" si="17"/>
        <v>4359.5217804054691</v>
      </c>
      <c r="L189" s="629"/>
      <c r="M189" s="443" t="s">
        <v>1258</v>
      </c>
      <c r="N189" s="728"/>
      <c r="O189" s="767"/>
      <c r="P189" s="754"/>
      <c r="Q189" s="8">
        <f>Q180</f>
        <v>589821050</v>
      </c>
    </row>
    <row r="190" spans="1:17" ht="16.5" customHeight="1">
      <c r="A190" s="713">
        <f t="shared" si="19"/>
        <v>26</v>
      </c>
      <c r="B190" s="296" t="s">
        <v>745</v>
      </c>
      <c r="C190" s="728">
        <v>41934</v>
      </c>
      <c r="D190" s="728" t="s">
        <v>746</v>
      </c>
      <c r="E190" s="910">
        <v>88</v>
      </c>
      <c r="F190" s="911">
        <v>53</v>
      </c>
      <c r="G190" s="911">
        <v>33</v>
      </c>
      <c r="H190" s="832">
        <f t="shared" si="20"/>
        <v>2.5499999999999998</v>
      </c>
      <c r="I190" s="714">
        <v>164</v>
      </c>
      <c r="J190" s="714">
        <f t="shared" si="21"/>
        <v>418.2</v>
      </c>
      <c r="K190" s="714">
        <f t="shared" si="17"/>
        <v>20975.057622705557</v>
      </c>
      <c r="L190" s="629"/>
      <c r="M190" s="443" t="s">
        <v>1259</v>
      </c>
      <c r="N190" s="728"/>
      <c r="O190" s="767"/>
      <c r="P190" s="754"/>
      <c r="Q190" s="8">
        <f>Q188</f>
        <v>63078100</v>
      </c>
    </row>
    <row r="191" spans="1:17" ht="16.5" customHeight="1">
      <c r="A191" s="713">
        <f t="shared" si="19"/>
        <v>27</v>
      </c>
      <c r="B191" s="296" t="s">
        <v>747</v>
      </c>
      <c r="C191" s="728">
        <v>41934</v>
      </c>
      <c r="D191" s="728" t="s">
        <v>746</v>
      </c>
      <c r="E191" s="910">
        <v>60</v>
      </c>
      <c r="F191" s="911">
        <v>25</v>
      </c>
      <c r="G191" s="911"/>
      <c r="H191" s="832">
        <f t="shared" si="20"/>
        <v>0.15</v>
      </c>
      <c r="I191" s="714">
        <v>328</v>
      </c>
      <c r="J191" s="714">
        <f t="shared" si="21"/>
        <v>49.199999999999996</v>
      </c>
      <c r="K191" s="714">
        <f t="shared" si="17"/>
        <v>1233.8269189826799</v>
      </c>
      <c r="L191" s="629"/>
      <c r="M191" s="443" t="s">
        <v>1260</v>
      </c>
      <c r="N191" s="728"/>
      <c r="O191" s="767"/>
      <c r="P191" s="754"/>
      <c r="Q191" s="8">
        <v>10160000</v>
      </c>
    </row>
    <row r="192" spans="1:17" ht="16.5" customHeight="1">
      <c r="A192" s="713">
        <f t="shared" si="19"/>
        <v>28</v>
      </c>
      <c r="B192" s="296" t="s">
        <v>748</v>
      </c>
      <c r="C192" s="728">
        <v>41934</v>
      </c>
      <c r="D192" s="728" t="s">
        <v>749</v>
      </c>
      <c r="E192" s="910">
        <v>62</v>
      </c>
      <c r="F192" s="911">
        <v>40</v>
      </c>
      <c r="G192" s="911">
        <v>42</v>
      </c>
      <c r="H192" s="832">
        <f t="shared" si="20"/>
        <v>1.78</v>
      </c>
      <c r="I192" s="714">
        <v>738</v>
      </c>
      <c r="J192" s="714">
        <f t="shared" si="21"/>
        <v>1313.64</v>
      </c>
      <c r="K192" s="714">
        <f t="shared" si="17"/>
        <v>14641.4127719278</v>
      </c>
      <c r="L192" s="629"/>
      <c r="M192" s="443" t="s">
        <v>1261</v>
      </c>
      <c r="N192" s="728"/>
      <c r="O192" s="767"/>
      <c r="P192" s="754"/>
      <c r="Q192" s="8">
        <v>30750000</v>
      </c>
    </row>
    <row r="193" spans="1:17" ht="16.5" customHeight="1">
      <c r="A193" s="713">
        <f t="shared" si="19"/>
        <v>29</v>
      </c>
      <c r="B193" s="296" t="s">
        <v>713</v>
      </c>
      <c r="C193" s="728">
        <v>41934</v>
      </c>
      <c r="D193" s="728" t="s">
        <v>749</v>
      </c>
      <c r="E193" s="910">
        <v>51</v>
      </c>
      <c r="F193" s="911">
        <v>37</v>
      </c>
      <c r="G193" s="911">
        <v>27</v>
      </c>
      <c r="H193" s="832">
        <f t="shared" si="20"/>
        <v>1.21</v>
      </c>
      <c r="I193" s="714">
        <v>30</v>
      </c>
      <c r="J193" s="714">
        <f t="shared" si="21"/>
        <v>36.299999999999997</v>
      </c>
      <c r="K193" s="714">
        <f t="shared" si="17"/>
        <v>9952.8704797936171</v>
      </c>
      <c r="L193" s="629"/>
      <c r="M193" s="443" t="s">
        <v>1262</v>
      </c>
      <c r="N193" s="728"/>
      <c r="O193" s="767"/>
      <c r="P193" s="754"/>
      <c r="Q193" s="8">
        <v>93195000</v>
      </c>
    </row>
    <row r="194" spans="1:17" ht="16.5" customHeight="1">
      <c r="A194" s="713">
        <f t="shared" si="19"/>
        <v>30</v>
      </c>
      <c r="B194" s="296" t="s">
        <v>653</v>
      </c>
      <c r="C194" s="728">
        <v>41935</v>
      </c>
      <c r="D194" s="728" t="s">
        <v>750</v>
      </c>
      <c r="E194" s="910">
        <v>36.5</v>
      </c>
      <c r="F194" s="911">
        <v>27.3</v>
      </c>
      <c r="G194" s="911">
        <v>25.5</v>
      </c>
      <c r="H194" s="832">
        <f t="shared" si="20"/>
        <v>0.74</v>
      </c>
      <c r="I194" s="714">
        <v>4080</v>
      </c>
      <c r="J194" s="714">
        <f t="shared" si="21"/>
        <v>3019.2</v>
      </c>
      <c r="K194" s="714">
        <f t="shared" si="17"/>
        <v>6086.8794669812205</v>
      </c>
      <c r="L194" s="629"/>
      <c r="M194" s="443"/>
      <c r="N194" s="728"/>
      <c r="O194" s="767"/>
      <c r="P194" s="754"/>
      <c r="Q194" s="8"/>
    </row>
    <row r="195" spans="1:17" ht="16.5" customHeight="1">
      <c r="A195" s="713">
        <f t="shared" si="19"/>
        <v>31</v>
      </c>
      <c r="B195" s="296" t="s">
        <v>437</v>
      </c>
      <c r="C195" s="728">
        <v>41937</v>
      </c>
      <c r="D195" s="728" t="s">
        <v>751</v>
      </c>
      <c r="E195" s="910">
        <v>49</v>
      </c>
      <c r="F195" s="911">
        <v>38</v>
      </c>
      <c r="G195" s="911">
        <v>12</v>
      </c>
      <c r="H195" s="832">
        <f t="shared" si="20"/>
        <v>0.95</v>
      </c>
      <c r="I195" s="714">
        <v>388</v>
      </c>
      <c r="J195" s="714">
        <f t="shared" si="21"/>
        <v>368.59999999999997</v>
      </c>
      <c r="K195" s="714">
        <f t="shared" si="17"/>
        <v>7814.2371535569719</v>
      </c>
      <c r="L195" s="629"/>
      <c r="M195" s="833" t="s">
        <v>1263</v>
      </c>
      <c r="N195" s="834"/>
      <c r="O195" s="835"/>
      <c r="P195" s="516"/>
      <c r="Q195" s="516">
        <f>SUM(Q189:Q194)</f>
        <v>787004150</v>
      </c>
    </row>
    <row r="196" spans="1:17" ht="16.5" customHeight="1">
      <c r="A196" s="713">
        <f t="shared" si="19"/>
        <v>32</v>
      </c>
      <c r="B196" s="296" t="s">
        <v>567</v>
      </c>
      <c r="C196" s="728">
        <v>41937</v>
      </c>
      <c r="D196" s="728" t="s">
        <v>751</v>
      </c>
      <c r="E196" s="910">
        <v>49</v>
      </c>
      <c r="F196" s="911">
        <v>38</v>
      </c>
      <c r="G196" s="911">
        <v>13</v>
      </c>
      <c r="H196" s="832">
        <f t="shared" si="20"/>
        <v>0.97</v>
      </c>
      <c r="I196" s="714">
        <v>405</v>
      </c>
      <c r="J196" s="714">
        <f t="shared" si="21"/>
        <v>392.84999999999997</v>
      </c>
      <c r="K196" s="714">
        <f t="shared" si="17"/>
        <v>7978.7474094213294</v>
      </c>
      <c r="L196" s="629"/>
      <c r="M196" s="444"/>
      <c r="N196" s="737"/>
      <c r="O196" s="770"/>
      <c r="P196" s="727"/>
      <c r="Q196" s="739"/>
    </row>
    <row r="197" spans="1:17" ht="16.5" customHeight="1">
      <c r="A197" s="713">
        <f t="shared" si="19"/>
        <v>33</v>
      </c>
      <c r="B197" s="296" t="s">
        <v>752</v>
      </c>
      <c r="C197" s="728">
        <v>41940</v>
      </c>
      <c r="D197" s="728" t="s">
        <v>753</v>
      </c>
      <c r="E197" s="910">
        <v>92</v>
      </c>
      <c r="F197" s="911">
        <v>55</v>
      </c>
      <c r="G197" s="911">
        <v>27</v>
      </c>
      <c r="H197" s="832">
        <f t="shared" si="20"/>
        <v>2.54</v>
      </c>
      <c r="I197" s="714">
        <v>57</v>
      </c>
      <c r="J197" s="714">
        <f t="shared" si="21"/>
        <v>144.78</v>
      </c>
      <c r="K197" s="714">
        <f t="shared" ref="K197:K229" si="24">H197*$Q$198</f>
        <v>20892.802494773379</v>
      </c>
      <c r="L197" s="629"/>
      <c r="M197" s="444"/>
      <c r="N197" s="737"/>
      <c r="O197" s="770"/>
      <c r="P197" s="727"/>
      <c r="Q197" s="739"/>
    </row>
    <row r="198" spans="1:17" ht="16.5" customHeight="1">
      <c r="A198" s="713">
        <f t="shared" si="19"/>
        <v>34</v>
      </c>
      <c r="B198" s="296" t="s">
        <v>754</v>
      </c>
      <c r="C198" s="728">
        <v>41940</v>
      </c>
      <c r="D198" s="728" t="s">
        <v>753</v>
      </c>
      <c r="E198" s="910">
        <v>86</v>
      </c>
      <c r="F198" s="911">
        <v>50</v>
      </c>
      <c r="G198" s="911">
        <v>21</v>
      </c>
      <c r="H198" s="832">
        <f t="shared" si="20"/>
        <v>2.0499999999999998</v>
      </c>
      <c r="I198" s="714">
        <v>236</v>
      </c>
      <c r="J198" s="714">
        <f t="shared" si="21"/>
        <v>483.79999999999995</v>
      </c>
      <c r="K198" s="714">
        <f t="shared" si="24"/>
        <v>16862.301226096624</v>
      </c>
      <c r="L198" s="629"/>
      <c r="M198" s="1127" t="s">
        <v>1264</v>
      </c>
      <c r="N198" s="1128"/>
      <c r="O198" s="1128"/>
      <c r="P198" s="1129"/>
      <c r="Q198" s="836">
        <f>Q195/J341</f>
        <v>8225.5127932178657</v>
      </c>
    </row>
    <row r="199" spans="1:17" ht="16.5" customHeight="1">
      <c r="A199" s="713">
        <f t="shared" si="19"/>
        <v>35</v>
      </c>
      <c r="B199" s="296" t="s">
        <v>747</v>
      </c>
      <c r="C199" s="728">
        <v>41940</v>
      </c>
      <c r="D199" s="728" t="s">
        <v>753</v>
      </c>
      <c r="E199" s="910">
        <v>60</v>
      </c>
      <c r="F199" s="911">
        <v>25</v>
      </c>
      <c r="G199" s="911"/>
      <c r="H199" s="832">
        <f t="shared" si="20"/>
        <v>0.15</v>
      </c>
      <c r="I199" s="714">
        <v>586</v>
      </c>
      <c r="J199" s="714">
        <f t="shared" si="21"/>
        <v>87.899999999999991</v>
      </c>
      <c r="K199" s="714">
        <f t="shared" si="24"/>
        <v>1233.8269189826799</v>
      </c>
      <c r="L199" s="629"/>
      <c r="M199" s="444"/>
      <c r="N199" s="737"/>
      <c r="O199" s="770"/>
      <c r="P199" s="727"/>
      <c r="Q199" s="739"/>
    </row>
    <row r="200" spans="1:17" ht="16.5" customHeight="1">
      <c r="A200" s="713">
        <f t="shared" si="19"/>
        <v>36</v>
      </c>
      <c r="B200" s="296" t="s">
        <v>755</v>
      </c>
      <c r="C200" s="728">
        <v>41940</v>
      </c>
      <c r="D200" s="728" t="s">
        <v>756</v>
      </c>
      <c r="E200" s="910">
        <v>51.5</v>
      </c>
      <c r="F200" s="911">
        <v>28.5</v>
      </c>
      <c r="G200" s="911">
        <v>7.2</v>
      </c>
      <c r="H200" s="832">
        <f t="shared" si="20"/>
        <v>0.64</v>
      </c>
      <c r="I200" s="714">
        <v>1028</v>
      </c>
      <c r="J200" s="714">
        <f t="shared" si="21"/>
        <v>657.92</v>
      </c>
      <c r="K200" s="714">
        <f t="shared" si="24"/>
        <v>5264.3281876594338</v>
      </c>
      <c r="L200" s="629"/>
      <c r="M200" s="444"/>
      <c r="N200" s="737"/>
      <c r="O200" s="770"/>
      <c r="P200" s="945"/>
      <c r="Q200" s="739"/>
    </row>
    <row r="201" spans="1:17" ht="16.5" customHeight="1">
      <c r="A201" s="713">
        <f t="shared" si="19"/>
        <v>37</v>
      </c>
      <c r="B201" s="296" t="s">
        <v>1208</v>
      </c>
      <c r="C201" s="728">
        <v>41941</v>
      </c>
      <c r="D201" s="728" t="s">
        <v>757</v>
      </c>
      <c r="E201" s="910">
        <v>34</v>
      </c>
      <c r="F201" s="911">
        <v>23.8</v>
      </c>
      <c r="G201" s="911"/>
      <c r="H201" s="832">
        <f t="shared" si="20"/>
        <v>0.08</v>
      </c>
      <c r="I201" s="714">
        <v>500</v>
      </c>
      <c r="J201" s="714">
        <f t="shared" si="21"/>
        <v>40</v>
      </c>
      <c r="K201" s="714">
        <f t="shared" si="24"/>
        <v>658.04102345742922</v>
      </c>
      <c r="L201" s="629"/>
      <c r="M201" s="444"/>
      <c r="N201" s="737"/>
      <c r="O201" s="770"/>
      <c r="P201" s="945"/>
      <c r="Q201" s="739"/>
    </row>
    <row r="202" spans="1:17" ht="16.5" customHeight="1">
      <c r="A202" s="713">
        <f t="shared" si="19"/>
        <v>38</v>
      </c>
      <c r="B202" s="296" t="s">
        <v>1209</v>
      </c>
      <c r="C202" s="728">
        <v>41941</v>
      </c>
      <c r="D202" s="728" t="s">
        <v>757</v>
      </c>
      <c r="E202" s="910">
        <v>27</v>
      </c>
      <c r="F202" s="911">
        <v>21</v>
      </c>
      <c r="G202" s="911"/>
      <c r="H202" s="832">
        <f t="shared" si="20"/>
        <v>0.06</v>
      </c>
      <c r="I202" s="714">
        <v>500</v>
      </c>
      <c r="J202" s="714">
        <f t="shared" si="21"/>
        <v>30</v>
      </c>
      <c r="K202" s="714">
        <f t="shared" si="24"/>
        <v>493.53076759307191</v>
      </c>
      <c r="L202" s="629"/>
      <c r="M202" s="444"/>
      <c r="N202" s="737"/>
      <c r="O202" s="770"/>
      <c r="P202" s="727"/>
      <c r="Q202" s="739"/>
    </row>
    <row r="203" spans="1:17" ht="16.5" customHeight="1">
      <c r="A203" s="713">
        <f t="shared" si="19"/>
        <v>39</v>
      </c>
      <c r="B203" s="296" t="s">
        <v>1210</v>
      </c>
      <c r="C203" s="728">
        <v>41941</v>
      </c>
      <c r="D203" s="728" t="s">
        <v>757</v>
      </c>
      <c r="E203" s="910">
        <v>45.8</v>
      </c>
      <c r="F203" s="911">
        <v>37.5</v>
      </c>
      <c r="G203" s="911"/>
      <c r="H203" s="832">
        <f t="shared" si="20"/>
        <v>0.17</v>
      </c>
      <c r="I203" s="714">
        <v>500</v>
      </c>
      <c r="J203" s="714">
        <f t="shared" si="21"/>
        <v>85</v>
      </c>
      <c r="K203" s="714">
        <f t="shared" si="24"/>
        <v>1398.3371748470372</v>
      </c>
      <c r="L203" s="629"/>
      <c r="M203" s="444"/>
      <c r="N203" s="737"/>
      <c r="O203" s="770"/>
      <c r="P203" s="727"/>
      <c r="Q203" s="739">
        <f>Q195+Q32</f>
        <v>1482329750</v>
      </c>
    </row>
    <row r="204" spans="1:17" ht="16.5" customHeight="1">
      <c r="A204" s="713">
        <f t="shared" si="19"/>
        <v>40</v>
      </c>
      <c r="B204" s="189" t="s">
        <v>1211</v>
      </c>
      <c r="C204" s="728">
        <v>41942</v>
      </c>
      <c r="D204" s="728" t="s">
        <v>758</v>
      </c>
      <c r="E204" s="910">
        <v>45</v>
      </c>
      <c r="F204" s="911">
        <v>37</v>
      </c>
      <c r="G204" s="911">
        <v>27.5</v>
      </c>
      <c r="H204" s="832">
        <f t="shared" si="20"/>
        <v>1.1399999999999999</v>
      </c>
      <c r="I204" s="714">
        <v>595</v>
      </c>
      <c r="J204" s="714">
        <f t="shared" si="21"/>
        <v>678.3</v>
      </c>
      <c r="K204" s="714">
        <f t="shared" si="24"/>
        <v>9377.0845842683666</v>
      </c>
      <c r="L204" s="629"/>
      <c r="M204" s="444"/>
      <c r="N204" s="737"/>
      <c r="O204" s="770"/>
      <c r="P204" s="727"/>
      <c r="Q204" s="739"/>
    </row>
    <row r="205" spans="1:17" ht="16.5" customHeight="1">
      <c r="A205" s="713">
        <f t="shared" si="19"/>
        <v>41</v>
      </c>
      <c r="B205" s="296" t="s">
        <v>446</v>
      </c>
      <c r="C205" s="728">
        <v>41942</v>
      </c>
      <c r="D205" s="728" t="s">
        <v>758</v>
      </c>
      <c r="E205" s="910">
        <v>50</v>
      </c>
      <c r="F205" s="911">
        <v>20</v>
      </c>
      <c r="G205" s="911"/>
      <c r="H205" s="832">
        <f t="shared" si="20"/>
        <v>0.1</v>
      </c>
      <c r="I205" s="714">
        <v>1190</v>
      </c>
      <c r="J205" s="714">
        <f t="shared" si="21"/>
        <v>119</v>
      </c>
      <c r="K205" s="714">
        <f t="shared" si="24"/>
        <v>822.55127932178664</v>
      </c>
      <c r="L205" s="629"/>
      <c r="M205" s="444"/>
      <c r="N205" s="737"/>
      <c r="O205" s="770"/>
      <c r="P205" s="727"/>
      <c r="Q205" s="739">
        <v>793219150</v>
      </c>
    </row>
    <row r="206" spans="1:17" ht="16.5" customHeight="1">
      <c r="A206" s="713">
        <f t="shared" si="19"/>
        <v>42</v>
      </c>
      <c r="B206" s="296" t="s">
        <v>460</v>
      </c>
      <c r="C206" s="728">
        <v>41942</v>
      </c>
      <c r="D206" s="728" t="s">
        <v>759</v>
      </c>
      <c r="E206" s="910">
        <v>55</v>
      </c>
      <c r="F206" s="911">
        <v>28</v>
      </c>
      <c r="G206" s="911">
        <v>23</v>
      </c>
      <c r="H206" s="832">
        <f t="shared" si="20"/>
        <v>0.92</v>
      </c>
      <c r="I206" s="714">
        <v>1005</v>
      </c>
      <c r="J206" s="714">
        <f t="shared" si="21"/>
        <v>924.6</v>
      </c>
      <c r="K206" s="714">
        <f t="shared" si="24"/>
        <v>7567.4717697604365</v>
      </c>
      <c r="L206" s="629"/>
      <c r="M206" s="444"/>
      <c r="N206" s="737"/>
      <c r="O206" s="770"/>
      <c r="P206" s="727"/>
      <c r="Q206" s="739"/>
    </row>
    <row r="207" spans="1:17" ht="16.5" customHeight="1">
      <c r="A207" s="713">
        <f t="shared" si="19"/>
        <v>43</v>
      </c>
      <c r="B207" s="296" t="s">
        <v>513</v>
      </c>
      <c r="C207" s="728">
        <v>41947</v>
      </c>
      <c r="D207" s="728" t="s">
        <v>760</v>
      </c>
      <c r="E207" s="910">
        <v>32.5</v>
      </c>
      <c r="F207" s="911">
        <v>32.5</v>
      </c>
      <c r="G207" s="911">
        <v>16</v>
      </c>
      <c r="H207" s="832">
        <f t="shared" si="20"/>
        <v>0.7</v>
      </c>
      <c r="I207" s="714">
        <v>300</v>
      </c>
      <c r="J207" s="714">
        <f t="shared" si="21"/>
        <v>210</v>
      </c>
      <c r="K207" s="714">
        <f t="shared" si="24"/>
        <v>5757.8589552525054</v>
      </c>
      <c r="L207" s="629"/>
      <c r="M207" s="444"/>
      <c r="N207" s="737"/>
      <c r="O207" s="770"/>
      <c r="P207" s="727"/>
      <c r="Q207" s="739"/>
    </row>
    <row r="208" spans="1:17" ht="16.5" customHeight="1">
      <c r="A208" s="713">
        <f t="shared" si="19"/>
        <v>44</v>
      </c>
      <c r="B208" s="296" t="s">
        <v>487</v>
      </c>
      <c r="C208" s="728">
        <v>41947</v>
      </c>
      <c r="D208" s="728" t="s">
        <v>760</v>
      </c>
      <c r="E208" s="910">
        <v>41</v>
      </c>
      <c r="F208" s="911">
        <v>31</v>
      </c>
      <c r="G208" s="911">
        <v>25.5</v>
      </c>
      <c r="H208" s="832">
        <f t="shared" si="20"/>
        <v>0.89</v>
      </c>
      <c r="I208" s="714">
        <v>300</v>
      </c>
      <c r="J208" s="714">
        <f t="shared" si="21"/>
        <v>267</v>
      </c>
      <c r="K208" s="714">
        <f t="shared" si="24"/>
        <v>7320.7063859639002</v>
      </c>
      <c r="L208" s="629"/>
      <c r="M208" s="444"/>
      <c r="N208" s="737"/>
      <c r="O208" s="770"/>
      <c r="P208" s="727"/>
      <c r="Q208" s="739"/>
    </row>
    <row r="209" spans="1:17" ht="16.5" customHeight="1">
      <c r="A209" s="713">
        <f t="shared" si="19"/>
        <v>45</v>
      </c>
      <c r="B209" s="296" t="s">
        <v>761</v>
      </c>
      <c r="C209" s="728">
        <v>41947</v>
      </c>
      <c r="D209" s="728" t="s">
        <v>762</v>
      </c>
      <c r="E209" s="910">
        <v>80</v>
      </c>
      <c r="F209" s="911">
        <v>53</v>
      </c>
      <c r="G209" s="911">
        <v>30</v>
      </c>
      <c r="H209" s="832">
        <f t="shared" si="20"/>
        <v>2.33</v>
      </c>
      <c r="I209" s="714">
        <v>224</v>
      </c>
      <c r="J209" s="714">
        <f t="shared" si="21"/>
        <v>521.92000000000007</v>
      </c>
      <c r="K209" s="714">
        <f t="shared" si="24"/>
        <v>19165.444808197626</v>
      </c>
      <c r="L209" s="629"/>
      <c r="M209" s="444"/>
      <c r="N209" s="737"/>
      <c r="O209" s="770"/>
      <c r="P209" s="727"/>
      <c r="Q209" s="739"/>
    </row>
    <row r="210" spans="1:17" ht="16.5" customHeight="1">
      <c r="A210" s="713">
        <f t="shared" si="19"/>
        <v>46</v>
      </c>
      <c r="B210" s="296" t="s">
        <v>747</v>
      </c>
      <c r="C210" s="728">
        <v>41947</v>
      </c>
      <c r="D210" s="728" t="s">
        <v>762</v>
      </c>
      <c r="E210" s="910">
        <v>60</v>
      </c>
      <c r="F210" s="911">
        <v>25</v>
      </c>
      <c r="G210" s="911"/>
      <c r="H210" s="832">
        <f t="shared" si="20"/>
        <v>0.15</v>
      </c>
      <c r="I210" s="714">
        <v>448</v>
      </c>
      <c r="J210" s="714">
        <f t="shared" si="21"/>
        <v>67.2</v>
      </c>
      <c r="K210" s="714">
        <f t="shared" si="24"/>
        <v>1233.8269189826799</v>
      </c>
      <c r="L210" s="629"/>
      <c r="M210" s="444"/>
      <c r="N210" s="737"/>
      <c r="O210" s="770"/>
      <c r="P210" s="727"/>
      <c r="Q210" s="739"/>
    </row>
    <row r="211" spans="1:17" ht="16.5" customHeight="1">
      <c r="A211" s="713">
        <f t="shared" si="19"/>
        <v>47</v>
      </c>
      <c r="B211" s="296" t="s">
        <v>467</v>
      </c>
      <c r="C211" s="728">
        <v>41947</v>
      </c>
      <c r="D211" s="728" t="s">
        <v>763</v>
      </c>
      <c r="E211" s="910">
        <v>29.5</v>
      </c>
      <c r="F211" s="911">
        <v>24</v>
      </c>
      <c r="G211" s="911">
        <v>19</v>
      </c>
      <c r="H211" s="832">
        <f t="shared" si="20"/>
        <v>0.52</v>
      </c>
      <c r="I211" s="714">
        <v>1529</v>
      </c>
      <c r="J211" s="714">
        <f t="shared" si="21"/>
        <v>795.08</v>
      </c>
      <c r="K211" s="714">
        <f t="shared" si="24"/>
        <v>4277.2666524732904</v>
      </c>
      <c r="L211" s="629"/>
      <c r="M211" s="444"/>
      <c r="N211" s="737"/>
      <c r="O211" s="770"/>
      <c r="P211" s="727"/>
      <c r="Q211" s="739"/>
    </row>
    <row r="212" spans="1:17" ht="16.5" customHeight="1">
      <c r="A212" s="713">
        <f t="shared" si="19"/>
        <v>48</v>
      </c>
      <c r="B212" s="296" t="s">
        <v>584</v>
      </c>
      <c r="C212" s="728">
        <v>41948</v>
      </c>
      <c r="D212" s="728" t="s">
        <v>764</v>
      </c>
      <c r="E212" s="910">
        <v>62</v>
      </c>
      <c r="F212" s="911">
        <v>42</v>
      </c>
      <c r="G212" s="911">
        <v>36</v>
      </c>
      <c r="H212" s="832">
        <f t="shared" si="20"/>
        <v>1.73</v>
      </c>
      <c r="I212" s="714">
        <v>11</v>
      </c>
      <c r="J212" s="714">
        <f t="shared" si="21"/>
        <v>19.03</v>
      </c>
      <c r="K212" s="714">
        <f t="shared" si="24"/>
        <v>14230.137132266907</v>
      </c>
      <c r="L212" s="629"/>
      <c r="M212" s="444"/>
      <c r="N212" s="737"/>
      <c r="O212" s="770"/>
      <c r="P212" s="727"/>
      <c r="Q212" s="739"/>
    </row>
    <row r="213" spans="1:17" ht="16.5" customHeight="1">
      <c r="A213" s="713">
        <f t="shared" si="19"/>
        <v>49</v>
      </c>
      <c r="B213" s="296" t="s">
        <v>708</v>
      </c>
      <c r="C213" s="728">
        <v>41948</v>
      </c>
      <c r="D213" s="728" t="s">
        <v>764</v>
      </c>
      <c r="E213" s="910">
        <v>46.5</v>
      </c>
      <c r="F213" s="911">
        <v>41.5</v>
      </c>
      <c r="G213" s="911">
        <v>27</v>
      </c>
      <c r="H213" s="832">
        <f t="shared" si="20"/>
        <v>1.29</v>
      </c>
      <c r="I213" s="714">
        <v>126</v>
      </c>
      <c r="J213" s="714">
        <f t="shared" si="21"/>
        <v>162.54</v>
      </c>
      <c r="K213" s="714">
        <f t="shared" si="24"/>
        <v>10610.911503251047</v>
      </c>
      <c r="L213" s="629"/>
      <c r="M213" s="444"/>
      <c r="N213" s="737"/>
      <c r="O213" s="770"/>
      <c r="P213" s="727"/>
      <c r="Q213" s="739"/>
    </row>
    <row r="214" spans="1:17" ht="16.5" customHeight="1">
      <c r="A214" s="713">
        <f t="shared" si="19"/>
        <v>50</v>
      </c>
      <c r="B214" s="296" t="s">
        <v>607</v>
      </c>
      <c r="C214" s="728">
        <v>41948</v>
      </c>
      <c r="D214" s="728" t="s">
        <v>764</v>
      </c>
      <c r="E214" s="910">
        <v>39.5</v>
      </c>
      <c r="F214" s="911">
        <v>41.5</v>
      </c>
      <c r="G214" s="911">
        <v>27</v>
      </c>
      <c r="H214" s="832">
        <f t="shared" si="20"/>
        <v>1.19</v>
      </c>
      <c r="I214" s="714">
        <v>150</v>
      </c>
      <c r="J214" s="714">
        <f t="shared" si="21"/>
        <v>178.5</v>
      </c>
      <c r="K214" s="714">
        <f t="shared" si="24"/>
        <v>9788.3602239292595</v>
      </c>
      <c r="L214" s="629"/>
      <c r="M214" s="444"/>
      <c r="N214" s="737"/>
      <c r="O214" s="770"/>
      <c r="P214" s="727"/>
      <c r="Q214" s="739"/>
    </row>
    <row r="215" spans="1:17" ht="16.5" customHeight="1">
      <c r="A215" s="713">
        <f t="shared" si="19"/>
        <v>51</v>
      </c>
      <c r="B215" s="296" t="s">
        <v>708</v>
      </c>
      <c r="C215" s="728">
        <v>41948</v>
      </c>
      <c r="D215" s="728" t="s">
        <v>764</v>
      </c>
      <c r="E215" s="910">
        <v>46.5</v>
      </c>
      <c r="F215" s="911">
        <v>41.5</v>
      </c>
      <c r="G215" s="911">
        <v>27</v>
      </c>
      <c r="H215" s="832">
        <f t="shared" si="20"/>
        <v>1.29</v>
      </c>
      <c r="I215" s="714">
        <v>221</v>
      </c>
      <c r="J215" s="714">
        <f t="shared" si="21"/>
        <v>285.09000000000003</v>
      </c>
      <c r="K215" s="714">
        <f t="shared" si="24"/>
        <v>10610.911503251047</v>
      </c>
      <c r="L215" s="629"/>
      <c r="M215" s="444"/>
      <c r="N215" s="737"/>
      <c r="O215" s="770"/>
      <c r="P215" s="727"/>
      <c r="Q215" s="739"/>
    </row>
    <row r="216" spans="1:17" ht="16.5" customHeight="1">
      <c r="A216" s="713">
        <f t="shared" si="19"/>
        <v>52</v>
      </c>
      <c r="B216" s="296" t="s">
        <v>584</v>
      </c>
      <c r="C216" s="728">
        <v>41948</v>
      </c>
      <c r="D216" s="728" t="s">
        <v>764</v>
      </c>
      <c r="E216" s="910">
        <v>62</v>
      </c>
      <c r="F216" s="911">
        <v>42</v>
      </c>
      <c r="G216" s="911">
        <v>36</v>
      </c>
      <c r="H216" s="832">
        <f t="shared" si="20"/>
        <v>1.73</v>
      </c>
      <c r="I216" s="714">
        <v>25</v>
      </c>
      <c r="J216" s="714">
        <f t="shared" si="21"/>
        <v>43.25</v>
      </c>
      <c r="K216" s="714">
        <f t="shared" si="24"/>
        <v>14230.137132266907</v>
      </c>
      <c r="L216" s="629"/>
      <c r="M216" s="444"/>
      <c r="N216" s="737"/>
      <c r="O216" s="770"/>
      <c r="P216" s="727"/>
      <c r="Q216" s="739"/>
    </row>
    <row r="217" spans="1:17" ht="16.5" customHeight="1">
      <c r="A217" s="713">
        <f t="shared" si="19"/>
        <v>53</v>
      </c>
      <c r="B217" s="296" t="s">
        <v>609</v>
      </c>
      <c r="C217" s="728">
        <v>41948</v>
      </c>
      <c r="D217" s="728" t="s">
        <v>764</v>
      </c>
      <c r="E217" s="910">
        <v>42</v>
      </c>
      <c r="F217" s="911">
        <v>40</v>
      </c>
      <c r="G217" s="911">
        <v>48</v>
      </c>
      <c r="H217" s="832">
        <f t="shared" si="20"/>
        <v>1.54</v>
      </c>
      <c r="I217" s="714">
        <v>55</v>
      </c>
      <c r="J217" s="714">
        <f t="shared" si="21"/>
        <v>84.7</v>
      </c>
      <c r="K217" s="714">
        <f t="shared" si="24"/>
        <v>12667.289701555514</v>
      </c>
      <c r="L217" s="629"/>
      <c r="M217" s="444"/>
      <c r="N217" s="737"/>
      <c r="O217" s="770"/>
      <c r="P217" s="727"/>
      <c r="Q217" s="739"/>
    </row>
    <row r="218" spans="1:17" ht="16.5" customHeight="1">
      <c r="A218" s="713">
        <f t="shared" si="19"/>
        <v>54</v>
      </c>
      <c r="B218" s="296" t="s">
        <v>708</v>
      </c>
      <c r="C218" s="728">
        <v>41948</v>
      </c>
      <c r="D218" s="728" t="s">
        <v>764</v>
      </c>
      <c r="E218" s="910">
        <v>46.5</v>
      </c>
      <c r="F218" s="911">
        <v>41.5</v>
      </c>
      <c r="G218" s="911">
        <v>27</v>
      </c>
      <c r="H218" s="832">
        <f t="shared" si="20"/>
        <v>1.29</v>
      </c>
      <c r="I218" s="714">
        <v>70</v>
      </c>
      <c r="J218" s="714">
        <f t="shared" si="21"/>
        <v>90.3</v>
      </c>
      <c r="K218" s="714">
        <f t="shared" si="24"/>
        <v>10610.911503251047</v>
      </c>
      <c r="L218" s="629"/>
      <c r="M218" s="444"/>
      <c r="N218" s="737"/>
      <c r="O218" s="770"/>
      <c r="P218" s="727"/>
      <c r="Q218" s="739"/>
    </row>
    <row r="219" spans="1:17" ht="16.5" customHeight="1">
      <c r="A219" s="713">
        <f t="shared" si="19"/>
        <v>55</v>
      </c>
      <c r="B219" s="296" t="s">
        <v>709</v>
      </c>
      <c r="C219" s="728">
        <v>41948</v>
      </c>
      <c r="D219" s="728" t="s">
        <v>764</v>
      </c>
      <c r="E219" s="910">
        <v>41.5</v>
      </c>
      <c r="F219" s="911">
        <v>38.5</v>
      </c>
      <c r="G219" s="911">
        <v>27</v>
      </c>
      <c r="H219" s="832">
        <f t="shared" si="20"/>
        <v>1.1299999999999999</v>
      </c>
      <c r="I219" s="714">
        <v>101</v>
      </c>
      <c r="J219" s="714">
        <f t="shared" si="21"/>
        <v>114.13</v>
      </c>
      <c r="K219" s="714">
        <f t="shared" si="24"/>
        <v>9294.8294563361869</v>
      </c>
      <c r="L219" s="629"/>
      <c r="M219" s="444"/>
      <c r="N219" s="737"/>
      <c r="O219" s="770"/>
      <c r="P219" s="727"/>
      <c r="Q219" s="739"/>
    </row>
    <row r="220" spans="1:17" ht="16.5" customHeight="1">
      <c r="A220" s="713">
        <f t="shared" si="19"/>
        <v>56</v>
      </c>
      <c r="B220" s="296" t="s">
        <v>790</v>
      </c>
      <c r="C220" s="728">
        <v>41948</v>
      </c>
      <c r="D220" s="728" t="s">
        <v>764</v>
      </c>
      <c r="E220" s="910">
        <v>45</v>
      </c>
      <c r="F220" s="911">
        <v>41</v>
      </c>
      <c r="G220" s="911">
        <v>11.5</v>
      </c>
      <c r="H220" s="832">
        <f t="shared" si="20"/>
        <v>0.98</v>
      </c>
      <c r="I220" s="714">
        <v>3030</v>
      </c>
      <c r="J220" s="714">
        <f t="shared" si="21"/>
        <v>2969.4</v>
      </c>
      <c r="K220" s="714">
        <f t="shared" si="24"/>
        <v>8061.0025373535082</v>
      </c>
      <c r="L220" s="629"/>
      <c r="M220" s="444"/>
      <c r="N220" s="737"/>
      <c r="O220" s="770"/>
      <c r="P220" s="727"/>
      <c r="Q220" s="739"/>
    </row>
    <row r="221" spans="1:17" ht="16.5" customHeight="1">
      <c r="A221" s="713">
        <f t="shared" si="19"/>
        <v>57</v>
      </c>
      <c r="B221" s="296" t="s">
        <v>765</v>
      </c>
      <c r="C221" s="728">
        <v>41950</v>
      </c>
      <c r="D221" s="728" t="s">
        <v>766</v>
      </c>
      <c r="E221" s="910">
        <v>42</v>
      </c>
      <c r="F221" s="911">
        <v>57</v>
      </c>
      <c r="G221" s="911"/>
      <c r="H221" s="832">
        <f t="shared" si="20"/>
        <v>0.24</v>
      </c>
      <c r="I221" s="714">
        <v>100</v>
      </c>
      <c r="J221" s="714">
        <f t="shared" si="21"/>
        <v>24</v>
      </c>
      <c r="K221" s="714">
        <f t="shared" si="24"/>
        <v>1974.1230703722877</v>
      </c>
      <c r="L221" s="629"/>
      <c r="M221" s="444"/>
      <c r="N221" s="737"/>
      <c r="O221" s="770"/>
      <c r="P221" s="727"/>
      <c r="Q221" s="739"/>
    </row>
    <row r="222" spans="1:17" ht="16.5" customHeight="1">
      <c r="A222" s="713">
        <f t="shared" si="19"/>
        <v>58</v>
      </c>
      <c r="B222" s="296" t="s">
        <v>767</v>
      </c>
      <c r="C222" s="728">
        <v>41950</v>
      </c>
      <c r="D222" s="728" t="s">
        <v>766</v>
      </c>
      <c r="E222" s="910">
        <v>58</v>
      </c>
      <c r="F222" s="911">
        <v>43</v>
      </c>
      <c r="G222" s="911">
        <v>31</v>
      </c>
      <c r="H222" s="832">
        <f t="shared" si="20"/>
        <v>1.59</v>
      </c>
      <c r="I222" s="714">
        <v>100</v>
      </c>
      <c r="J222" s="714">
        <f t="shared" si="21"/>
        <v>159</v>
      </c>
      <c r="K222" s="714">
        <f t="shared" si="24"/>
        <v>13078.565341216407</v>
      </c>
      <c r="L222" s="629"/>
      <c r="M222" s="444"/>
      <c r="N222" s="737"/>
      <c r="O222" s="770"/>
      <c r="P222" s="727"/>
      <c r="Q222" s="739"/>
    </row>
    <row r="223" spans="1:17" ht="16.5" customHeight="1">
      <c r="A223" s="713">
        <f t="shared" si="19"/>
        <v>59</v>
      </c>
      <c r="B223" s="296" t="s">
        <v>768</v>
      </c>
      <c r="C223" s="728">
        <v>41950</v>
      </c>
      <c r="D223" s="728" t="s">
        <v>766</v>
      </c>
      <c r="E223" s="910">
        <v>35</v>
      </c>
      <c r="F223" s="911">
        <v>25</v>
      </c>
      <c r="G223" s="911">
        <v>30</v>
      </c>
      <c r="H223" s="832">
        <f t="shared" si="20"/>
        <v>0.73</v>
      </c>
      <c r="I223" s="714">
        <v>209</v>
      </c>
      <c r="J223" s="714">
        <f t="shared" si="21"/>
        <v>152.57</v>
      </c>
      <c r="K223" s="714">
        <f t="shared" si="24"/>
        <v>6004.6243390490417</v>
      </c>
      <c r="L223" s="629"/>
      <c r="M223" s="444"/>
      <c r="N223" s="737"/>
      <c r="O223" s="770"/>
      <c r="P223" s="727"/>
      <c r="Q223" s="739"/>
    </row>
    <row r="224" spans="1:17" ht="16.5" customHeight="1">
      <c r="A224" s="713">
        <f t="shared" si="19"/>
        <v>60</v>
      </c>
      <c r="B224" s="296" t="s">
        <v>594</v>
      </c>
      <c r="C224" s="728">
        <v>41950</v>
      </c>
      <c r="D224" s="728" t="s">
        <v>769</v>
      </c>
      <c r="E224" s="910">
        <v>55</v>
      </c>
      <c r="F224" s="911">
        <v>55</v>
      </c>
      <c r="G224" s="911">
        <v>75</v>
      </c>
      <c r="H224" s="832">
        <f t="shared" si="20"/>
        <v>2.99</v>
      </c>
      <c r="I224" s="714">
        <v>206</v>
      </c>
      <c r="J224" s="714">
        <f t="shared" si="21"/>
        <v>615.94000000000005</v>
      </c>
      <c r="K224" s="714">
        <f t="shared" si="24"/>
        <v>24594.283251721419</v>
      </c>
      <c r="L224" s="629"/>
      <c r="M224" s="444"/>
      <c r="N224" s="737"/>
      <c r="O224" s="770"/>
      <c r="P224" s="727"/>
      <c r="Q224" s="739"/>
    </row>
    <row r="225" spans="1:17" ht="16.5" customHeight="1">
      <c r="A225" s="713">
        <f t="shared" si="19"/>
        <v>61</v>
      </c>
      <c r="B225" s="296" t="s">
        <v>437</v>
      </c>
      <c r="C225" s="728">
        <v>41955</v>
      </c>
      <c r="D225" s="728" t="s">
        <v>770</v>
      </c>
      <c r="E225" s="910">
        <v>49</v>
      </c>
      <c r="F225" s="911">
        <v>38</v>
      </c>
      <c r="G225" s="911">
        <v>12</v>
      </c>
      <c r="H225" s="832">
        <f t="shared" si="20"/>
        <v>0.95</v>
      </c>
      <c r="I225" s="714">
        <v>504</v>
      </c>
      <c r="J225" s="714">
        <f t="shared" si="21"/>
        <v>478.79999999999995</v>
      </c>
      <c r="K225" s="714">
        <f t="shared" si="24"/>
        <v>7814.2371535569719</v>
      </c>
      <c r="L225" s="629"/>
      <c r="M225" s="444"/>
      <c r="N225" s="737"/>
      <c r="O225" s="770"/>
      <c r="P225" s="727"/>
      <c r="Q225" s="739"/>
    </row>
    <row r="226" spans="1:17" ht="16.5" customHeight="1">
      <c r="A226" s="713">
        <f t="shared" si="19"/>
        <v>62</v>
      </c>
      <c r="B226" s="296" t="s">
        <v>437</v>
      </c>
      <c r="C226" s="728">
        <v>41955</v>
      </c>
      <c r="D226" s="728" t="s">
        <v>770</v>
      </c>
      <c r="E226" s="910">
        <v>49</v>
      </c>
      <c r="F226" s="911">
        <v>38</v>
      </c>
      <c r="G226" s="911">
        <v>12</v>
      </c>
      <c r="H226" s="832">
        <f t="shared" si="20"/>
        <v>0.95</v>
      </c>
      <c r="I226" s="714">
        <v>318</v>
      </c>
      <c r="J226" s="714">
        <f t="shared" si="21"/>
        <v>302.09999999999997</v>
      </c>
      <c r="K226" s="714">
        <f t="shared" si="24"/>
        <v>7814.2371535569719</v>
      </c>
      <c r="L226" s="629"/>
      <c r="M226" s="444"/>
      <c r="N226" s="737"/>
      <c r="O226" s="770"/>
      <c r="P226" s="727"/>
      <c r="Q226" s="739"/>
    </row>
    <row r="227" spans="1:17" ht="16.5" customHeight="1">
      <c r="A227" s="713">
        <f t="shared" si="19"/>
        <v>63</v>
      </c>
      <c r="B227" s="296" t="s">
        <v>772</v>
      </c>
      <c r="C227" s="728">
        <v>41955</v>
      </c>
      <c r="D227" s="728" t="s">
        <v>771</v>
      </c>
      <c r="E227" s="910">
        <v>74</v>
      </c>
      <c r="F227" s="911">
        <v>53</v>
      </c>
      <c r="G227" s="911">
        <v>33</v>
      </c>
      <c r="H227" s="832">
        <f t="shared" si="20"/>
        <v>2.31</v>
      </c>
      <c r="I227" s="714">
        <v>347</v>
      </c>
      <c r="J227" s="714">
        <f t="shared" si="21"/>
        <v>801.57</v>
      </c>
      <c r="K227" s="714">
        <f t="shared" si="24"/>
        <v>19000.93455233327</v>
      </c>
      <c r="L227" s="629"/>
      <c r="M227" s="444"/>
      <c r="N227" s="737"/>
      <c r="O227" s="770"/>
      <c r="P227" s="727"/>
      <c r="Q227" s="739"/>
    </row>
    <row r="228" spans="1:17" ht="16.5" customHeight="1">
      <c r="A228" s="713">
        <f t="shared" si="19"/>
        <v>64</v>
      </c>
      <c r="B228" s="296" t="s">
        <v>773</v>
      </c>
      <c r="C228" s="728">
        <v>41955</v>
      </c>
      <c r="D228" s="728" t="s">
        <v>771</v>
      </c>
      <c r="E228" s="910">
        <v>105</v>
      </c>
      <c r="F228" s="911">
        <v>57</v>
      </c>
      <c r="G228" s="911">
        <v>33</v>
      </c>
      <c r="H228" s="832">
        <f t="shared" si="20"/>
        <v>3.06</v>
      </c>
      <c r="I228" s="714">
        <v>593</v>
      </c>
      <c r="J228" s="714">
        <f t="shared" si="21"/>
        <v>1814.58</v>
      </c>
      <c r="K228" s="714">
        <f t="shared" si="24"/>
        <v>25170.069147246668</v>
      </c>
      <c r="L228" s="629"/>
      <c r="M228" s="444"/>
      <c r="N228" s="737"/>
      <c r="O228" s="770"/>
      <c r="P228" s="727"/>
      <c r="Q228" s="739"/>
    </row>
    <row r="229" spans="1:17" ht="16.5" customHeight="1">
      <c r="A229" s="713">
        <f t="shared" ref="A229:A292" si="25">IF(B229&lt;&gt;"",A228+1,"")</f>
        <v>65</v>
      </c>
      <c r="B229" s="296" t="s">
        <v>747</v>
      </c>
      <c r="C229" s="728">
        <v>41955</v>
      </c>
      <c r="D229" s="728" t="s">
        <v>771</v>
      </c>
      <c r="E229" s="910">
        <v>60</v>
      </c>
      <c r="F229" s="911">
        <v>25</v>
      </c>
      <c r="G229" s="911"/>
      <c r="H229" s="832">
        <f t="shared" si="20"/>
        <v>0.15</v>
      </c>
      <c r="I229" s="714">
        <v>1880</v>
      </c>
      <c r="J229" s="714">
        <f t="shared" si="21"/>
        <v>282</v>
      </c>
      <c r="K229" s="714">
        <f t="shared" si="24"/>
        <v>1233.8269189826799</v>
      </c>
      <c r="L229" s="629"/>
      <c r="M229" s="444"/>
      <c r="N229" s="737"/>
      <c r="O229" s="770"/>
      <c r="P229" s="727"/>
      <c r="Q229" s="739"/>
    </row>
    <row r="230" spans="1:17" ht="16.5" customHeight="1">
      <c r="A230" s="713">
        <f t="shared" si="25"/>
        <v>66</v>
      </c>
      <c r="B230" s="296" t="s">
        <v>671</v>
      </c>
      <c r="C230" s="728">
        <v>41956</v>
      </c>
      <c r="D230" s="728" t="s">
        <v>774</v>
      </c>
      <c r="E230" s="910">
        <v>43</v>
      </c>
      <c r="F230" s="911">
        <v>31</v>
      </c>
      <c r="G230" s="911">
        <v>25</v>
      </c>
      <c r="H230" s="832">
        <f t="shared" ref="H230:H293" si="26">IF(G230&lt;&gt;"",ROUND(((E230+F230)*2+5)*(F230+G230+3)/10000,2),ROUND(E230*F230/10000,2))</f>
        <v>0.9</v>
      </c>
      <c r="I230" s="714">
        <v>1010</v>
      </c>
      <c r="J230" s="714">
        <f t="shared" ref="J230:J293" si="27">H230*I230</f>
        <v>909</v>
      </c>
      <c r="K230" s="714">
        <f t="shared" ref="K230:K293" si="28">H230*$Q$198</f>
        <v>7402.9615138960789</v>
      </c>
      <c r="L230" s="629"/>
      <c r="M230" s="444"/>
      <c r="N230" s="737"/>
      <c r="O230" s="770"/>
      <c r="P230" s="727"/>
      <c r="Q230" s="739"/>
    </row>
    <row r="231" spans="1:17" ht="16.5" customHeight="1">
      <c r="A231" s="713">
        <f t="shared" si="25"/>
        <v>67</v>
      </c>
      <c r="B231" s="296" t="s">
        <v>516</v>
      </c>
      <c r="C231" s="728">
        <v>41958</v>
      </c>
      <c r="D231" s="728" t="s">
        <v>775</v>
      </c>
      <c r="E231" s="910">
        <v>59</v>
      </c>
      <c r="F231" s="911">
        <v>28</v>
      </c>
      <c r="G231" s="911">
        <v>17</v>
      </c>
      <c r="H231" s="832">
        <f t="shared" si="26"/>
        <v>0.86</v>
      </c>
      <c r="I231" s="714">
        <v>1012</v>
      </c>
      <c r="J231" s="714">
        <f t="shared" si="27"/>
        <v>870.31999999999994</v>
      </c>
      <c r="K231" s="714">
        <f t="shared" si="28"/>
        <v>7073.9410021673648</v>
      </c>
      <c r="L231" s="629"/>
      <c r="M231" s="444"/>
      <c r="N231" s="737"/>
      <c r="O231" s="770"/>
      <c r="P231" s="727"/>
      <c r="Q231" s="739"/>
    </row>
    <row r="232" spans="1:17" ht="16.5" customHeight="1">
      <c r="A232" s="713">
        <f t="shared" si="25"/>
        <v>68</v>
      </c>
      <c r="B232" s="296" t="s">
        <v>776</v>
      </c>
      <c r="C232" s="728">
        <v>41960</v>
      </c>
      <c r="D232" s="728" t="s">
        <v>777</v>
      </c>
      <c r="E232" s="910">
        <v>48.5</v>
      </c>
      <c r="F232" s="911">
        <v>23</v>
      </c>
      <c r="G232" s="911">
        <v>35</v>
      </c>
      <c r="H232" s="832">
        <f t="shared" si="26"/>
        <v>0.9</v>
      </c>
      <c r="I232" s="714">
        <v>1990</v>
      </c>
      <c r="J232" s="714">
        <f t="shared" si="27"/>
        <v>1791</v>
      </c>
      <c r="K232" s="714">
        <f t="shared" si="28"/>
        <v>7402.9615138960789</v>
      </c>
      <c r="L232" s="629"/>
      <c r="M232" s="444"/>
      <c r="N232" s="737"/>
      <c r="O232" s="770"/>
      <c r="P232" s="727"/>
      <c r="Q232" s="739"/>
    </row>
    <row r="233" spans="1:17" ht="16.5" customHeight="1">
      <c r="A233" s="713">
        <f t="shared" si="25"/>
        <v>69</v>
      </c>
      <c r="B233" s="296" t="s">
        <v>504</v>
      </c>
      <c r="C233" s="728">
        <v>41962</v>
      </c>
      <c r="D233" s="728" t="s">
        <v>779</v>
      </c>
      <c r="E233" s="910">
        <v>51.5</v>
      </c>
      <c r="F233" s="911">
        <v>26</v>
      </c>
      <c r="G233" s="911">
        <v>27</v>
      </c>
      <c r="H233" s="832">
        <f t="shared" si="26"/>
        <v>0.9</v>
      </c>
      <c r="I233" s="714">
        <v>609</v>
      </c>
      <c r="J233" s="714">
        <f t="shared" si="27"/>
        <v>548.1</v>
      </c>
      <c r="K233" s="714">
        <f t="shared" si="28"/>
        <v>7402.9615138960789</v>
      </c>
      <c r="L233" s="629"/>
      <c r="M233" s="444"/>
      <c r="N233" s="737"/>
      <c r="O233" s="770"/>
      <c r="P233" s="727"/>
      <c r="Q233" s="739"/>
    </row>
    <row r="234" spans="1:17" ht="16.5" customHeight="1">
      <c r="A234" s="713">
        <f t="shared" si="25"/>
        <v>70</v>
      </c>
      <c r="B234" s="296" t="s">
        <v>505</v>
      </c>
      <c r="C234" s="728">
        <v>41962</v>
      </c>
      <c r="D234" s="728" t="s">
        <v>779</v>
      </c>
      <c r="E234" s="910">
        <v>51.5</v>
      </c>
      <c r="F234" s="911">
        <v>27.5</v>
      </c>
      <c r="G234" s="911">
        <v>27.5</v>
      </c>
      <c r="H234" s="832">
        <f t="shared" si="26"/>
        <v>0.95</v>
      </c>
      <c r="I234" s="714">
        <v>213</v>
      </c>
      <c r="J234" s="714">
        <f t="shared" si="27"/>
        <v>202.35</v>
      </c>
      <c r="K234" s="714">
        <f t="shared" si="28"/>
        <v>7814.2371535569719</v>
      </c>
      <c r="L234" s="629"/>
      <c r="M234" s="444"/>
      <c r="N234" s="737"/>
      <c r="O234" s="770"/>
      <c r="P234" s="727"/>
      <c r="Q234" s="739"/>
    </row>
    <row r="235" spans="1:17" ht="16.5" customHeight="1">
      <c r="A235" s="713">
        <f t="shared" si="25"/>
        <v>71</v>
      </c>
      <c r="B235" s="296" t="s">
        <v>780</v>
      </c>
      <c r="C235" s="728">
        <v>41962</v>
      </c>
      <c r="D235" s="728" t="s">
        <v>779</v>
      </c>
      <c r="E235" s="910">
        <v>51.5</v>
      </c>
      <c r="F235" s="911">
        <v>25.5</v>
      </c>
      <c r="G235" s="911">
        <v>25.2</v>
      </c>
      <c r="H235" s="832">
        <f t="shared" si="26"/>
        <v>0.85</v>
      </c>
      <c r="I235" s="714">
        <v>796</v>
      </c>
      <c r="J235" s="714">
        <f t="shared" si="27"/>
        <v>676.6</v>
      </c>
      <c r="K235" s="714">
        <f t="shared" si="28"/>
        <v>6991.685874235186</v>
      </c>
      <c r="L235" s="629"/>
      <c r="M235" s="444"/>
      <c r="N235" s="737"/>
      <c r="O235" s="770"/>
      <c r="P235" s="727"/>
      <c r="Q235" s="739"/>
    </row>
    <row r="236" spans="1:17" ht="16.5" customHeight="1">
      <c r="A236" s="713">
        <f t="shared" si="25"/>
        <v>72</v>
      </c>
      <c r="B236" s="296" t="s">
        <v>406</v>
      </c>
      <c r="C236" s="728">
        <v>41962</v>
      </c>
      <c r="D236" s="728" t="s">
        <v>779</v>
      </c>
      <c r="E236" s="910">
        <v>52</v>
      </c>
      <c r="F236" s="911">
        <v>32</v>
      </c>
      <c r="G236" s="911">
        <v>22</v>
      </c>
      <c r="H236" s="832">
        <f t="shared" si="26"/>
        <v>0.99</v>
      </c>
      <c r="I236" s="714">
        <v>402</v>
      </c>
      <c r="J236" s="714">
        <f t="shared" si="27"/>
        <v>397.98</v>
      </c>
      <c r="K236" s="714">
        <f t="shared" si="28"/>
        <v>8143.2576652856869</v>
      </c>
      <c r="L236" s="629"/>
      <c r="M236" s="444"/>
      <c r="N236" s="737"/>
      <c r="O236" s="770"/>
      <c r="P236" s="727"/>
      <c r="Q236" s="739"/>
    </row>
    <row r="237" spans="1:17" ht="16.5" customHeight="1">
      <c r="A237" s="713">
        <f t="shared" si="25"/>
        <v>73</v>
      </c>
      <c r="B237" s="296" t="s">
        <v>781</v>
      </c>
      <c r="C237" s="728">
        <v>41962</v>
      </c>
      <c r="D237" s="728" t="s">
        <v>782</v>
      </c>
      <c r="E237" s="910">
        <v>27.3</v>
      </c>
      <c r="F237" s="911">
        <v>20.3</v>
      </c>
      <c r="G237" s="911">
        <v>31.3</v>
      </c>
      <c r="H237" s="832">
        <f t="shared" si="26"/>
        <v>0.55000000000000004</v>
      </c>
      <c r="I237" s="714">
        <v>975</v>
      </c>
      <c r="J237" s="714">
        <f t="shared" si="27"/>
        <v>536.25</v>
      </c>
      <c r="K237" s="714">
        <f t="shared" si="28"/>
        <v>4524.0320362698267</v>
      </c>
      <c r="L237" s="629"/>
      <c r="M237" s="444"/>
      <c r="N237" s="737"/>
      <c r="O237" s="770"/>
      <c r="P237" s="727"/>
      <c r="Q237" s="739"/>
    </row>
    <row r="238" spans="1:17" ht="16.5" customHeight="1">
      <c r="A238" s="713">
        <f t="shared" si="25"/>
        <v>74</v>
      </c>
      <c r="B238" s="296" t="s">
        <v>784</v>
      </c>
      <c r="C238" s="728">
        <v>41962</v>
      </c>
      <c r="D238" s="728" t="s">
        <v>782</v>
      </c>
      <c r="E238" s="910">
        <v>26.3</v>
      </c>
      <c r="F238" s="911">
        <v>30.3</v>
      </c>
      <c r="G238" s="911"/>
      <c r="H238" s="832">
        <f t="shared" si="26"/>
        <v>0.08</v>
      </c>
      <c r="I238" s="714">
        <v>1000</v>
      </c>
      <c r="J238" s="714">
        <f t="shared" si="27"/>
        <v>80</v>
      </c>
      <c r="K238" s="714">
        <f t="shared" si="28"/>
        <v>658.04102345742922</v>
      </c>
      <c r="L238" s="629"/>
      <c r="M238" s="444"/>
      <c r="N238" s="737"/>
      <c r="O238" s="770"/>
      <c r="P238" s="727"/>
      <c r="Q238" s="739"/>
    </row>
    <row r="239" spans="1:17" ht="16.5" customHeight="1">
      <c r="A239" s="713">
        <f t="shared" si="25"/>
        <v>75</v>
      </c>
      <c r="B239" s="296" t="s">
        <v>785</v>
      </c>
      <c r="C239" s="728">
        <v>41962</v>
      </c>
      <c r="D239" s="728" t="s">
        <v>782</v>
      </c>
      <c r="E239" s="910">
        <v>19.3</v>
      </c>
      <c r="F239" s="911">
        <v>30.3</v>
      </c>
      <c r="G239" s="911"/>
      <c r="H239" s="832">
        <f t="shared" si="26"/>
        <v>0.06</v>
      </c>
      <c r="I239" s="714">
        <v>1000</v>
      </c>
      <c r="J239" s="714">
        <f t="shared" si="27"/>
        <v>60</v>
      </c>
      <c r="K239" s="714">
        <f t="shared" si="28"/>
        <v>493.53076759307191</v>
      </c>
      <c r="L239" s="629"/>
      <c r="M239" s="444"/>
      <c r="N239" s="737"/>
      <c r="O239" s="770"/>
      <c r="P239" s="727"/>
      <c r="Q239" s="739"/>
    </row>
    <row r="240" spans="1:17" ht="16.5" customHeight="1">
      <c r="A240" s="713">
        <f t="shared" si="25"/>
        <v>76</v>
      </c>
      <c r="B240" s="296" t="s">
        <v>786</v>
      </c>
      <c r="C240" s="728">
        <v>41962</v>
      </c>
      <c r="D240" s="728" t="s">
        <v>782</v>
      </c>
      <c r="E240" s="910">
        <v>24.3</v>
      </c>
      <c r="F240" s="911">
        <v>14.8</v>
      </c>
      <c r="G240" s="911">
        <v>31.3</v>
      </c>
      <c r="H240" s="832">
        <f t="shared" si="26"/>
        <v>0.41</v>
      </c>
      <c r="I240" s="714">
        <v>978</v>
      </c>
      <c r="J240" s="714">
        <f t="shared" si="27"/>
        <v>400.97999999999996</v>
      </c>
      <c r="K240" s="714">
        <f t="shared" si="28"/>
        <v>3372.4602452193249</v>
      </c>
      <c r="L240" s="629"/>
      <c r="M240" s="444"/>
      <c r="N240" s="737"/>
      <c r="O240" s="770"/>
      <c r="P240" s="727"/>
      <c r="Q240" s="739"/>
    </row>
    <row r="241" spans="1:17" ht="16.5" customHeight="1">
      <c r="A241" s="713">
        <f t="shared" si="25"/>
        <v>77</v>
      </c>
      <c r="B241" s="296" t="s">
        <v>787</v>
      </c>
      <c r="C241" s="728">
        <v>41962</v>
      </c>
      <c r="D241" s="728" t="s">
        <v>782</v>
      </c>
      <c r="E241" s="910">
        <v>23.3</v>
      </c>
      <c r="F241" s="911">
        <v>30.3</v>
      </c>
      <c r="G241" s="911"/>
      <c r="H241" s="832">
        <f t="shared" si="26"/>
        <v>7.0000000000000007E-2</v>
      </c>
      <c r="I241" s="714">
        <v>1000</v>
      </c>
      <c r="J241" s="714">
        <f t="shared" si="27"/>
        <v>70</v>
      </c>
      <c r="K241" s="714">
        <f t="shared" si="28"/>
        <v>575.78589552525068</v>
      </c>
      <c r="L241" s="629"/>
      <c r="M241" s="444"/>
      <c r="N241" s="737"/>
      <c r="O241" s="770"/>
      <c r="P241" s="727"/>
      <c r="Q241" s="739"/>
    </row>
    <row r="242" spans="1:17" ht="16.5" customHeight="1">
      <c r="A242" s="713">
        <f t="shared" si="25"/>
        <v>78</v>
      </c>
      <c r="B242" s="296" t="s">
        <v>788</v>
      </c>
      <c r="C242" s="728">
        <v>41962</v>
      </c>
      <c r="D242" s="728" t="s">
        <v>782</v>
      </c>
      <c r="E242" s="910">
        <v>13.8</v>
      </c>
      <c r="F242" s="911">
        <v>30.3</v>
      </c>
      <c r="G242" s="911"/>
      <c r="H242" s="832">
        <f t="shared" si="26"/>
        <v>0.04</v>
      </c>
      <c r="I242" s="714">
        <v>1000</v>
      </c>
      <c r="J242" s="714">
        <f t="shared" si="27"/>
        <v>40</v>
      </c>
      <c r="K242" s="714">
        <f t="shared" si="28"/>
        <v>329.02051172871461</v>
      </c>
      <c r="L242" s="629"/>
      <c r="M242" s="444"/>
      <c r="N242" s="737"/>
      <c r="O242" s="770"/>
      <c r="P242" s="727"/>
      <c r="Q242" s="739"/>
    </row>
    <row r="243" spans="1:17" ht="16.5" customHeight="1">
      <c r="A243" s="713">
        <f t="shared" si="25"/>
        <v>79</v>
      </c>
      <c r="B243" s="296" t="s">
        <v>460</v>
      </c>
      <c r="C243" s="728">
        <v>41963</v>
      </c>
      <c r="D243" s="728" t="s">
        <v>789</v>
      </c>
      <c r="E243" s="910">
        <v>55</v>
      </c>
      <c r="F243" s="911">
        <v>28</v>
      </c>
      <c r="G243" s="911">
        <v>23</v>
      </c>
      <c r="H243" s="832">
        <f t="shared" si="26"/>
        <v>0.92</v>
      </c>
      <c r="I243" s="714">
        <v>993</v>
      </c>
      <c r="J243" s="714">
        <f t="shared" si="27"/>
        <v>913.56000000000006</v>
      </c>
      <c r="K243" s="714">
        <f t="shared" si="28"/>
        <v>7567.4717697604365</v>
      </c>
      <c r="L243" s="629"/>
      <c r="M243" s="444"/>
      <c r="N243" s="737"/>
      <c r="O243" s="770"/>
      <c r="P243" s="727"/>
      <c r="Q243" s="739"/>
    </row>
    <row r="244" spans="1:17" ht="16.5" customHeight="1">
      <c r="A244" s="713">
        <f t="shared" si="25"/>
        <v>80</v>
      </c>
      <c r="B244" s="296" t="s">
        <v>790</v>
      </c>
      <c r="C244" s="728">
        <v>41963</v>
      </c>
      <c r="D244" s="728" t="s">
        <v>791</v>
      </c>
      <c r="E244" s="910">
        <v>45</v>
      </c>
      <c r="F244" s="911">
        <v>41</v>
      </c>
      <c r="G244" s="911">
        <v>11.5</v>
      </c>
      <c r="H244" s="832">
        <f t="shared" si="26"/>
        <v>0.98</v>
      </c>
      <c r="I244" s="714">
        <v>3030</v>
      </c>
      <c r="J244" s="714">
        <f t="shared" si="27"/>
        <v>2969.4</v>
      </c>
      <c r="K244" s="714">
        <f t="shared" si="28"/>
        <v>8061.0025373535082</v>
      </c>
      <c r="L244" s="629"/>
      <c r="M244" s="444"/>
      <c r="N244" s="737"/>
      <c r="O244" s="770"/>
      <c r="P244" s="727"/>
      <c r="Q244" s="739"/>
    </row>
    <row r="245" spans="1:17" ht="16.5" customHeight="1">
      <c r="A245" s="713">
        <f t="shared" si="25"/>
        <v>81</v>
      </c>
      <c r="B245" s="296" t="s">
        <v>790</v>
      </c>
      <c r="C245" s="728">
        <v>41963</v>
      </c>
      <c r="D245" s="728" t="s">
        <v>791</v>
      </c>
      <c r="E245" s="910">
        <v>45</v>
      </c>
      <c r="F245" s="911">
        <v>41</v>
      </c>
      <c r="G245" s="911">
        <v>11.5</v>
      </c>
      <c r="H245" s="832">
        <f t="shared" si="26"/>
        <v>0.98</v>
      </c>
      <c r="I245" s="714">
        <v>219</v>
      </c>
      <c r="J245" s="714">
        <f t="shared" si="27"/>
        <v>214.62</v>
      </c>
      <c r="K245" s="714">
        <f t="shared" si="28"/>
        <v>8061.0025373535082</v>
      </c>
      <c r="L245" s="629"/>
      <c r="M245" s="444"/>
      <c r="N245" s="737"/>
      <c r="O245" s="770"/>
      <c r="P245" s="727"/>
      <c r="Q245" s="739"/>
    </row>
    <row r="246" spans="1:17" ht="16.5" customHeight="1">
      <c r="A246" s="713">
        <f t="shared" si="25"/>
        <v>82</v>
      </c>
      <c r="B246" s="296" t="s">
        <v>790</v>
      </c>
      <c r="C246" s="728">
        <v>41963</v>
      </c>
      <c r="D246" s="728" t="s">
        <v>791</v>
      </c>
      <c r="E246" s="910">
        <v>45</v>
      </c>
      <c r="F246" s="911">
        <v>41</v>
      </c>
      <c r="G246" s="911">
        <v>11.5</v>
      </c>
      <c r="H246" s="832">
        <f t="shared" si="26"/>
        <v>0.98</v>
      </c>
      <c r="I246" s="714">
        <v>3167</v>
      </c>
      <c r="J246" s="714">
        <f t="shared" si="27"/>
        <v>3103.66</v>
      </c>
      <c r="K246" s="714">
        <f t="shared" si="28"/>
        <v>8061.0025373535082</v>
      </c>
      <c r="L246" s="629"/>
      <c r="M246" s="444"/>
      <c r="N246" s="737"/>
      <c r="O246" s="770"/>
      <c r="P246" s="727"/>
      <c r="Q246" s="739"/>
    </row>
    <row r="247" spans="1:17" ht="16.5" customHeight="1">
      <c r="A247" s="713">
        <f t="shared" si="25"/>
        <v>83</v>
      </c>
      <c r="B247" s="189" t="s">
        <v>1211</v>
      </c>
      <c r="C247" s="728">
        <v>41964</v>
      </c>
      <c r="D247" s="728" t="s">
        <v>792</v>
      </c>
      <c r="E247" s="910">
        <v>45</v>
      </c>
      <c r="F247" s="911">
        <v>37</v>
      </c>
      <c r="G247" s="911">
        <v>27.5</v>
      </c>
      <c r="H247" s="832">
        <f t="shared" si="26"/>
        <v>1.1399999999999999</v>
      </c>
      <c r="I247" s="714">
        <v>780</v>
      </c>
      <c r="J247" s="714">
        <f t="shared" si="27"/>
        <v>889.19999999999993</v>
      </c>
      <c r="K247" s="714">
        <f t="shared" si="28"/>
        <v>9377.0845842683666</v>
      </c>
      <c r="L247" s="629"/>
      <c r="M247" s="444"/>
      <c r="N247" s="737"/>
      <c r="O247" s="770"/>
      <c r="P247" s="727"/>
      <c r="Q247" s="739"/>
    </row>
    <row r="248" spans="1:17" ht="16.5" customHeight="1">
      <c r="A248" s="713">
        <f t="shared" si="25"/>
        <v>84</v>
      </c>
      <c r="B248" s="296" t="s">
        <v>446</v>
      </c>
      <c r="C248" s="728">
        <v>41964</v>
      </c>
      <c r="D248" s="728" t="s">
        <v>792</v>
      </c>
      <c r="E248" s="910">
        <v>50</v>
      </c>
      <c r="F248" s="911">
        <v>20</v>
      </c>
      <c r="G248" s="911"/>
      <c r="H248" s="832">
        <f t="shared" si="26"/>
        <v>0.1</v>
      </c>
      <c r="I248" s="714">
        <v>1600</v>
      </c>
      <c r="J248" s="714">
        <f t="shared" si="27"/>
        <v>160</v>
      </c>
      <c r="K248" s="714">
        <f t="shared" si="28"/>
        <v>822.55127932178664</v>
      </c>
      <c r="L248" s="629"/>
      <c r="M248" s="444"/>
      <c r="N248" s="737"/>
      <c r="O248" s="770"/>
      <c r="P248" s="727"/>
      <c r="Q248" s="739"/>
    </row>
    <row r="249" spans="1:17" ht="16.5" customHeight="1">
      <c r="A249" s="713">
        <f t="shared" si="25"/>
        <v>85</v>
      </c>
      <c r="B249" s="296" t="s">
        <v>567</v>
      </c>
      <c r="C249" s="728">
        <v>41967</v>
      </c>
      <c r="D249" s="728" t="s">
        <v>793</v>
      </c>
      <c r="E249" s="910">
        <v>49</v>
      </c>
      <c r="F249" s="911">
        <v>38</v>
      </c>
      <c r="G249" s="911">
        <v>13</v>
      </c>
      <c r="H249" s="832">
        <f t="shared" si="26"/>
        <v>0.97</v>
      </c>
      <c r="I249" s="714">
        <v>511</v>
      </c>
      <c r="J249" s="714">
        <f t="shared" si="27"/>
        <v>495.66999999999996</v>
      </c>
      <c r="K249" s="714">
        <f t="shared" si="28"/>
        <v>7978.7474094213294</v>
      </c>
      <c r="L249" s="629"/>
      <c r="M249" s="444"/>
      <c r="N249" s="737"/>
      <c r="O249" s="770"/>
      <c r="P249" s="727"/>
      <c r="Q249" s="739"/>
    </row>
    <row r="250" spans="1:17" ht="16.5" customHeight="1">
      <c r="A250" s="713">
        <f t="shared" si="25"/>
        <v>86</v>
      </c>
      <c r="B250" s="296" t="s">
        <v>794</v>
      </c>
      <c r="C250" s="728">
        <v>41968</v>
      </c>
      <c r="D250" s="728" t="s">
        <v>795</v>
      </c>
      <c r="E250" s="910">
        <v>45.5</v>
      </c>
      <c r="F250" s="911">
        <v>41</v>
      </c>
      <c r="G250" s="911">
        <v>11.5</v>
      </c>
      <c r="H250" s="832">
        <f t="shared" si="26"/>
        <v>0.99</v>
      </c>
      <c r="I250" s="714">
        <v>3160</v>
      </c>
      <c r="J250" s="714">
        <f t="shared" si="27"/>
        <v>3128.4</v>
      </c>
      <c r="K250" s="714">
        <f t="shared" si="28"/>
        <v>8143.2576652856869</v>
      </c>
      <c r="L250" s="629"/>
      <c r="M250" s="444"/>
      <c r="N250" s="737"/>
      <c r="O250" s="770"/>
      <c r="P250" s="727"/>
      <c r="Q250" s="739"/>
    </row>
    <row r="251" spans="1:17" ht="16.5" customHeight="1">
      <c r="A251" s="713">
        <f t="shared" si="25"/>
        <v>87</v>
      </c>
      <c r="B251" s="296" t="s">
        <v>723</v>
      </c>
      <c r="C251" s="728">
        <v>41968</v>
      </c>
      <c r="D251" s="728" t="s">
        <v>796</v>
      </c>
      <c r="E251" s="910">
        <v>90</v>
      </c>
      <c r="F251" s="911">
        <v>56</v>
      </c>
      <c r="G251" s="911">
        <v>21</v>
      </c>
      <c r="H251" s="832">
        <f t="shared" si="26"/>
        <v>2.38</v>
      </c>
      <c r="I251" s="714">
        <v>33</v>
      </c>
      <c r="J251" s="714">
        <f t="shared" si="27"/>
        <v>78.539999999999992</v>
      </c>
      <c r="K251" s="714">
        <f t="shared" si="28"/>
        <v>19576.720447858519</v>
      </c>
      <c r="L251" s="629"/>
      <c r="M251" s="444"/>
      <c r="N251" s="737"/>
      <c r="O251" s="770"/>
      <c r="P251" s="727"/>
      <c r="Q251" s="739"/>
    </row>
    <row r="252" spans="1:17" ht="16.5" customHeight="1">
      <c r="A252" s="713">
        <f t="shared" si="25"/>
        <v>88</v>
      </c>
      <c r="B252" s="296" t="s">
        <v>772</v>
      </c>
      <c r="C252" s="728">
        <v>41968</v>
      </c>
      <c r="D252" s="728" t="s">
        <v>796</v>
      </c>
      <c r="E252" s="910">
        <v>74</v>
      </c>
      <c r="F252" s="911">
        <v>53</v>
      </c>
      <c r="G252" s="911">
        <v>33</v>
      </c>
      <c r="H252" s="832">
        <f t="shared" si="26"/>
        <v>2.31</v>
      </c>
      <c r="I252" s="714">
        <v>56</v>
      </c>
      <c r="J252" s="714">
        <f t="shared" si="27"/>
        <v>129.36000000000001</v>
      </c>
      <c r="K252" s="714">
        <f t="shared" si="28"/>
        <v>19000.93455233327</v>
      </c>
      <c r="L252" s="629"/>
      <c r="M252" s="444"/>
      <c r="N252" s="737"/>
      <c r="O252" s="770"/>
      <c r="P252" s="727"/>
      <c r="Q252" s="739"/>
    </row>
    <row r="253" spans="1:17" ht="16.5" customHeight="1">
      <c r="A253" s="713">
        <f t="shared" si="25"/>
        <v>89</v>
      </c>
      <c r="B253" s="296" t="s">
        <v>747</v>
      </c>
      <c r="C253" s="728">
        <v>41968</v>
      </c>
      <c r="D253" s="728" t="s">
        <v>796</v>
      </c>
      <c r="E253" s="910">
        <v>60</v>
      </c>
      <c r="F253" s="911">
        <v>25</v>
      </c>
      <c r="G253" s="911"/>
      <c r="H253" s="832">
        <f t="shared" si="26"/>
        <v>0.15</v>
      </c>
      <c r="I253" s="714">
        <v>178</v>
      </c>
      <c r="J253" s="714">
        <f t="shared" si="27"/>
        <v>26.7</v>
      </c>
      <c r="K253" s="714">
        <f t="shared" si="28"/>
        <v>1233.8269189826799</v>
      </c>
      <c r="L253" s="629"/>
      <c r="M253" s="444"/>
      <c r="N253" s="737"/>
      <c r="O253" s="770"/>
      <c r="P253" s="727"/>
      <c r="Q253" s="739"/>
    </row>
    <row r="254" spans="1:17" ht="16.5" customHeight="1">
      <c r="A254" s="713">
        <f t="shared" si="25"/>
        <v>90</v>
      </c>
      <c r="B254" s="296" t="s">
        <v>797</v>
      </c>
      <c r="C254" s="728">
        <v>41970</v>
      </c>
      <c r="D254" s="728" t="s">
        <v>798</v>
      </c>
      <c r="E254" s="910">
        <v>120</v>
      </c>
      <c r="F254" s="911">
        <v>147</v>
      </c>
      <c r="G254" s="911"/>
      <c r="H254" s="832">
        <f t="shared" si="26"/>
        <v>1.76</v>
      </c>
      <c r="I254" s="714">
        <v>100</v>
      </c>
      <c r="J254" s="714">
        <f t="shared" si="27"/>
        <v>176</v>
      </c>
      <c r="K254" s="714">
        <f t="shared" si="28"/>
        <v>14476.902516063443</v>
      </c>
      <c r="L254" s="629"/>
      <c r="M254" s="444"/>
      <c r="N254" s="737"/>
      <c r="O254" s="770"/>
      <c r="P254" s="727"/>
      <c r="Q254" s="739"/>
    </row>
    <row r="255" spans="1:17" ht="16.5" customHeight="1">
      <c r="A255" s="713">
        <f t="shared" si="25"/>
        <v>91</v>
      </c>
      <c r="B255" s="296" t="s">
        <v>509</v>
      </c>
      <c r="C255" s="728">
        <v>41970</v>
      </c>
      <c r="D255" s="728" t="s">
        <v>800</v>
      </c>
      <c r="E255" s="910">
        <v>39.5</v>
      </c>
      <c r="F255" s="911">
        <v>32.299999999999997</v>
      </c>
      <c r="G255" s="911">
        <v>27.7</v>
      </c>
      <c r="H255" s="832">
        <f t="shared" si="26"/>
        <v>0.94</v>
      </c>
      <c r="I255" s="714">
        <v>333</v>
      </c>
      <c r="J255" s="714">
        <f t="shared" si="27"/>
        <v>313.02</v>
      </c>
      <c r="K255" s="714">
        <f t="shared" si="28"/>
        <v>7731.9820256247931</v>
      </c>
      <c r="L255" s="629"/>
      <c r="M255" s="444"/>
      <c r="N255" s="737"/>
      <c r="O255" s="770"/>
      <c r="P255" s="727"/>
      <c r="Q255" s="739"/>
    </row>
    <row r="256" spans="1:17" ht="16.5" customHeight="1">
      <c r="A256" s="713">
        <f t="shared" si="25"/>
        <v>92</v>
      </c>
      <c r="B256" s="296" t="s">
        <v>488</v>
      </c>
      <c r="C256" s="728">
        <v>41970</v>
      </c>
      <c r="D256" s="728" t="s">
        <v>800</v>
      </c>
      <c r="E256" s="910">
        <v>43</v>
      </c>
      <c r="F256" s="911">
        <v>27.5</v>
      </c>
      <c r="G256" s="911">
        <v>33</v>
      </c>
      <c r="H256" s="832">
        <f t="shared" si="26"/>
        <v>0.93</v>
      </c>
      <c r="I256" s="714">
        <v>219</v>
      </c>
      <c r="J256" s="714">
        <f t="shared" si="27"/>
        <v>203.67000000000002</v>
      </c>
      <c r="K256" s="714">
        <f t="shared" si="28"/>
        <v>7649.7268976926152</v>
      </c>
      <c r="L256" s="629"/>
      <c r="M256" s="444"/>
      <c r="N256" s="737"/>
      <c r="O256" s="770"/>
      <c r="P256" s="727"/>
      <c r="Q256" s="739"/>
    </row>
    <row r="257" spans="1:17" ht="16.5" customHeight="1">
      <c r="A257" s="713">
        <f t="shared" si="25"/>
        <v>93</v>
      </c>
      <c r="B257" s="296" t="s">
        <v>487</v>
      </c>
      <c r="C257" s="728">
        <v>41970</v>
      </c>
      <c r="D257" s="728" t="s">
        <v>800</v>
      </c>
      <c r="E257" s="910">
        <v>41</v>
      </c>
      <c r="F257" s="911">
        <v>31</v>
      </c>
      <c r="G257" s="911">
        <v>25.5</v>
      </c>
      <c r="H257" s="832">
        <f t="shared" si="26"/>
        <v>0.89</v>
      </c>
      <c r="I257" s="714">
        <v>112</v>
      </c>
      <c r="J257" s="714">
        <f t="shared" si="27"/>
        <v>99.68</v>
      </c>
      <c r="K257" s="714">
        <f t="shared" si="28"/>
        <v>7320.7063859639002</v>
      </c>
      <c r="L257" s="629"/>
      <c r="M257" s="444"/>
      <c r="N257" s="737"/>
      <c r="O257" s="770"/>
      <c r="P257" s="727"/>
      <c r="Q257" s="739"/>
    </row>
    <row r="258" spans="1:17" ht="16.5" customHeight="1">
      <c r="A258" s="713">
        <f t="shared" si="25"/>
        <v>94</v>
      </c>
      <c r="B258" s="296" t="s">
        <v>631</v>
      </c>
      <c r="C258" s="728">
        <v>41970</v>
      </c>
      <c r="D258" s="728" t="s">
        <v>801</v>
      </c>
      <c r="E258" s="910">
        <v>32</v>
      </c>
      <c r="F258" s="911">
        <v>15.5</v>
      </c>
      <c r="G258" s="911">
        <v>25</v>
      </c>
      <c r="H258" s="832">
        <f t="shared" si="26"/>
        <v>0.44</v>
      </c>
      <c r="I258" s="714">
        <v>110</v>
      </c>
      <c r="J258" s="714">
        <f t="shared" si="27"/>
        <v>48.4</v>
      </c>
      <c r="K258" s="714">
        <f t="shared" si="28"/>
        <v>3619.2256290158607</v>
      </c>
      <c r="L258" s="629"/>
      <c r="M258" s="444"/>
      <c r="N258" s="737"/>
      <c r="O258" s="770"/>
      <c r="P258" s="727"/>
      <c r="Q258" s="739"/>
    </row>
    <row r="259" spans="1:17" ht="16.5" customHeight="1">
      <c r="A259" s="713">
        <f t="shared" si="25"/>
        <v>95</v>
      </c>
      <c r="B259" s="296" t="s">
        <v>633</v>
      </c>
      <c r="C259" s="728">
        <v>41970</v>
      </c>
      <c r="D259" s="728" t="s">
        <v>801</v>
      </c>
      <c r="E259" s="910">
        <v>50</v>
      </c>
      <c r="F259" s="911">
        <v>28</v>
      </c>
      <c r="G259" s="911">
        <v>17</v>
      </c>
      <c r="H259" s="832">
        <f t="shared" si="26"/>
        <v>0.77</v>
      </c>
      <c r="I259" s="714">
        <v>260</v>
      </c>
      <c r="J259" s="714">
        <f t="shared" si="27"/>
        <v>200.20000000000002</v>
      </c>
      <c r="K259" s="714">
        <f t="shared" si="28"/>
        <v>6333.6448507777568</v>
      </c>
      <c r="L259" s="629"/>
      <c r="M259" s="444"/>
      <c r="N259" s="737"/>
      <c r="O259" s="770"/>
      <c r="P259" s="727"/>
      <c r="Q259" s="739"/>
    </row>
    <row r="260" spans="1:17" ht="16.5" customHeight="1">
      <c r="A260" s="713">
        <f t="shared" si="25"/>
        <v>96</v>
      </c>
      <c r="B260" s="296" t="s">
        <v>632</v>
      </c>
      <c r="C260" s="728">
        <v>41970</v>
      </c>
      <c r="D260" s="728" t="s">
        <v>801</v>
      </c>
      <c r="E260" s="910">
        <v>38</v>
      </c>
      <c r="F260" s="911">
        <v>18.5</v>
      </c>
      <c r="G260" s="911">
        <v>18</v>
      </c>
      <c r="H260" s="832">
        <f t="shared" si="26"/>
        <v>0.47</v>
      </c>
      <c r="I260" s="714">
        <v>450</v>
      </c>
      <c r="J260" s="714">
        <f t="shared" si="27"/>
        <v>211.5</v>
      </c>
      <c r="K260" s="714">
        <f t="shared" si="28"/>
        <v>3865.9910128123965</v>
      </c>
      <c r="L260" s="629"/>
      <c r="M260" s="444"/>
      <c r="N260" s="737"/>
      <c r="O260" s="770"/>
      <c r="P260" s="727"/>
      <c r="Q260" s="739"/>
    </row>
    <row r="261" spans="1:17" ht="16.5" customHeight="1">
      <c r="A261" s="713">
        <f t="shared" si="25"/>
        <v>97</v>
      </c>
      <c r="B261" s="296" t="s">
        <v>671</v>
      </c>
      <c r="C261" s="728">
        <v>41972</v>
      </c>
      <c r="D261" s="728" t="s">
        <v>802</v>
      </c>
      <c r="E261" s="910">
        <v>43</v>
      </c>
      <c r="F261" s="911">
        <v>31</v>
      </c>
      <c r="G261" s="911">
        <v>25</v>
      </c>
      <c r="H261" s="832">
        <f t="shared" si="26"/>
        <v>0.9</v>
      </c>
      <c r="I261" s="714">
        <v>1000</v>
      </c>
      <c r="J261" s="714">
        <f t="shared" si="27"/>
        <v>900</v>
      </c>
      <c r="K261" s="714">
        <f t="shared" si="28"/>
        <v>7402.9615138960789</v>
      </c>
      <c r="L261" s="629"/>
      <c r="M261" s="444"/>
      <c r="N261" s="737"/>
      <c r="O261" s="770"/>
      <c r="P261" s="727"/>
      <c r="Q261" s="739"/>
    </row>
    <row r="262" spans="1:17" ht="16.5" customHeight="1">
      <c r="A262" s="713">
        <f t="shared" si="25"/>
        <v>98</v>
      </c>
      <c r="B262" s="296" t="s">
        <v>671</v>
      </c>
      <c r="C262" s="728">
        <v>41973</v>
      </c>
      <c r="D262" s="728" t="s">
        <v>803</v>
      </c>
      <c r="E262" s="910">
        <v>43</v>
      </c>
      <c r="F262" s="911">
        <v>31</v>
      </c>
      <c r="G262" s="911">
        <v>25</v>
      </c>
      <c r="H262" s="832">
        <f t="shared" si="26"/>
        <v>0.9</v>
      </c>
      <c r="I262" s="714">
        <v>987</v>
      </c>
      <c r="J262" s="714">
        <f t="shared" si="27"/>
        <v>888.30000000000007</v>
      </c>
      <c r="K262" s="714">
        <f t="shared" si="28"/>
        <v>7402.9615138960789</v>
      </c>
      <c r="L262" s="629"/>
      <c r="M262" s="444"/>
      <c r="N262" s="737"/>
      <c r="O262" s="770"/>
      <c r="P262" s="727"/>
      <c r="Q262" s="739"/>
    </row>
    <row r="263" spans="1:17" ht="16.5" customHeight="1">
      <c r="A263" s="713">
        <f t="shared" si="25"/>
        <v>99</v>
      </c>
      <c r="B263" s="296" t="s">
        <v>671</v>
      </c>
      <c r="C263" s="728">
        <v>41973</v>
      </c>
      <c r="D263" s="728" t="s">
        <v>803</v>
      </c>
      <c r="E263" s="910">
        <v>43</v>
      </c>
      <c r="F263" s="911">
        <v>31</v>
      </c>
      <c r="G263" s="911">
        <v>25</v>
      </c>
      <c r="H263" s="832">
        <f t="shared" si="26"/>
        <v>0.9</v>
      </c>
      <c r="I263" s="714">
        <v>226</v>
      </c>
      <c r="J263" s="714">
        <f t="shared" si="27"/>
        <v>203.4</v>
      </c>
      <c r="K263" s="714">
        <f t="shared" si="28"/>
        <v>7402.9615138960789</v>
      </c>
      <c r="L263" s="629"/>
      <c r="M263" s="444"/>
      <c r="N263" s="737"/>
      <c r="O263" s="770"/>
      <c r="P263" s="727"/>
      <c r="Q263" s="739"/>
    </row>
    <row r="264" spans="1:17" ht="16.5" customHeight="1">
      <c r="A264" s="713">
        <f t="shared" si="25"/>
        <v>100</v>
      </c>
      <c r="B264" s="296" t="s">
        <v>776</v>
      </c>
      <c r="C264" s="728">
        <v>41973</v>
      </c>
      <c r="D264" s="728" t="s">
        <v>804</v>
      </c>
      <c r="E264" s="910">
        <v>48.5</v>
      </c>
      <c r="F264" s="911">
        <v>23</v>
      </c>
      <c r="G264" s="911">
        <v>35</v>
      </c>
      <c r="H264" s="832">
        <f t="shared" si="26"/>
        <v>0.9</v>
      </c>
      <c r="I264" s="714">
        <v>1980</v>
      </c>
      <c r="J264" s="714">
        <f t="shared" si="27"/>
        <v>1782</v>
      </c>
      <c r="K264" s="714">
        <f t="shared" si="28"/>
        <v>7402.9615138960789</v>
      </c>
      <c r="L264" s="629"/>
      <c r="M264" s="444"/>
      <c r="N264" s="737"/>
      <c r="O264" s="770"/>
      <c r="P264" s="727"/>
      <c r="Q264" s="739"/>
    </row>
    <row r="265" spans="1:17" ht="16.5" customHeight="1">
      <c r="A265" s="713">
        <f t="shared" si="25"/>
        <v>101</v>
      </c>
      <c r="B265" s="296" t="s">
        <v>742</v>
      </c>
      <c r="C265" s="728">
        <v>41975</v>
      </c>
      <c r="D265" s="728" t="s">
        <v>805</v>
      </c>
      <c r="E265" s="910">
        <v>37.5</v>
      </c>
      <c r="F265" s="911">
        <v>25.3</v>
      </c>
      <c r="G265" s="911">
        <v>23.9</v>
      </c>
      <c r="H265" s="832">
        <f t="shared" si="26"/>
        <v>0.68</v>
      </c>
      <c r="I265" s="714">
        <v>1059</v>
      </c>
      <c r="J265" s="714">
        <f t="shared" si="27"/>
        <v>720.12</v>
      </c>
      <c r="K265" s="714">
        <f t="shared" si="28"/>
        <v>5593.3486993881488</v>
      </c>
      <c r="L265" s="629"/>
      <c r="M265" s="444"/>
      <c r="N265" s="737"/>
      <c r="O265" s="770"/>
      <c r="P265" s="727"/>
      <c r="Q265" s="739"/>
    </row>
    <row r="266" spans="1:17" ht="16.5" customHeight="1">
      <c r="A266" s="713">
        <f t="shared" si="25"/>
        <v>102</v>
      </c>
      <c r="B266" s="296" t="s">
        <v>806</v>
      </c>
      <c r="C266" s="728">
        <v>41979</v>
      </c>
      <c r="D266" s="728" t="s">
        <v>807</v>
      </c>
      <c r="E266" s="910">
        <v>32.5</v>
      </c>
      <c r="F266" s="911">
        <v>32.5</v>
      </c>
      <c r="G266" s="911">
        <v>29.5</v>
      </c>
      <c r="H266" s="832">
        <f t="shared" si="26"/>
        <v>0.88</v>
      </c>
      <c r="I266" s="714">
        <v>106</v>
      </c>
      <c r="J266" s="714">
        <f t="shared" si="27"/>
        <v>93.28</v>
      </c>
      <c r="K266" s="714">
        <f t="shared" si="28"/>
        <v>7238.4512580317214</v>
      </c>
      <c r="L266" s="629"/>
      <c r="M266" s="444"/>
      <c r="N266" s="737"/>
      <c r="O266" s="770"/>
      <c r="P266" s="727"/>
      <c r="Q266" s="739"/>
    </row>
    <row r="267" spans="1:17" ht="16.5" customHeight="1">
      <c r="A267" s="713">
        <f t="shared" si="25"/>
        <v>103</v>
      </c>
      <c r="B267" s="296" t="s">
        <v>755</v>
      </c>
      <c r="C267" s="728">
        <v>41979</v>
      </c>
      <c r="D267" s="728" t="s">
        <v>807</v>
      </c>
      <c r="E267" s="910">
        <v>51.5</v>
      </c>
      <c r="F267" s="911">
        <v>28.5</v>
      </c>
      <c r="G267" s="911">
        <v>7.2</v>
      </c>
      <c r="H267" s="832">
        <f t="shared" si="26"/>
        <v>0.64</v>
      </c>
      <c r="I267" s="714">
        <v>493</v>
      </c>
      <c r="J267" s="714">
        <f t="shared" si="27"/>
        <v>315.52</v>
      </c>
      <c r="K267" s="714">
        <f t="shared" si="28"/>
        <v>5264.3281876594338</v>
      </c>
      <c r="L267" s="629"/>
      <c r="M267" s="444"/>
      <c r="N267" s="737"/>
      <c r="O267" s="770"/>
      <c r="P267" s="727"/>
      <c r="Q267" s="739"/>
    </row>
    <row r="268" spans="1:17" ht="16.5" customHeight="1">
      <c r="A268" s="713">
        <f t="shared" si="25"/>
        <v>104</v>
      </c>
      <c r="B268" s="296" t="s">
        <v>808</v>
      </c>
      <c r="C268" s="728">
        <v>41979</v>
      </c>
      <c r="D268" s="728" t="s">
        <v>807</v>
      </c>
      <c r="E268" s="910">
        <v>42</v>
      </c>
      <c r="F268" s="911">
        <v>22</v>
      </c>
      <c r="G268" s="911">
        <v>6</v>
      </c>
      <c r="H268" s="832">
        <f t="shared" si="26"/>
        <v>0.41</v>
      </c>
      <c r="I268" s="714">
        <v>512</v>
      </c>
      <c r="J268" s="714">
        <f t="shared" si="27"/>
        <v>209.92</v>
      </c>
      <c r="K268" s="714">
        <f t="shared" si="28"/>
        <v>3372.4602452193249</v>
      </c>
      <c r="L268" s="629"/>
      <c r="M268" s="444"/>
      <c r="N268" s="737"/>
      <c r="O268" s="770"/>
      <c r="P268" s="727"/>
      <c r="Q268" s="739"/>
    </row>
    <row r="269" spans="1:17" ht="16.5" customHeight="1">
      <c r="A269" s="713">
        <f t="shared" si="25"/>
        <v>105</v>
      </c>
      <c r="B269" s="296" t="s">
        <v>691</v>
      </c>
      <c r="C269" s="728">
        <v>41979</v>
      </c>
      <c r="D269" s="728" t="s">
        <v>807</v>
      </c>
      <c r="E269" s="910">
        <v>45</v>
      </c>
      <c r="F269" s="911">
        <v>34.5</v>
      </c>
      <c r="G269" s="911">
        <v>7.2</v>
      </c>
      <c r="H269" s="832">
        <f t="shared" si="26"/>
        <v>0.73</v>
      </c>
      <c r="I269" s="714">
        <v>208</v>
      </c>
      <c r="J269" s="714">
        <f t="shared" si="27"/>
        <v>151.84</v>
      </c>
      <c r="K269" s="714">
        <f t="shared" si="28"/>
        <v>6004.6243390490417</v>
      </c>
      <c r="L269" s="629"/>
      <c r="M269" s="444"/>
      <c r="N269" s="737"/>
      <c r="O269" s="770"/>
      <c r="P269" s="727"/>
      <c r="Q269" s="739"/>
    </row>
    <row r="270" spans="1:17" ht="16.5" customHeight="1">
      <c r="A270" s="713">
        <f t="shared" si="25"/>
        <v>106</v>
      </c>
      <c r="B270" s="296" t="s">
        <v>640</v>
      </c>
      <c r="C270" s="728">
        <v>41979</v>
      </c>
      <c r="D270" s="728" t="s">
        <v>807</v>
      </c>
      <c r="E270" s="910">
        <v>22</v>
      </c>
      <c r="F270" s="911">
        <v>22</v>
      </c>
      <c r="G270" s="911">
        <v>29.5</v>
      </c>
      <c r="H270" s="832">
        <f t="shared" si="26"/>
        <v>0.51</v>
      </c>
      <c r="I270" s="714">
        <v>1016</v>
      </c>
      <c r="J270" s="714">
        <f t="shared" si="27"/>
        <v>518.16</v>
      </c>
      <c r="K270" s="714">
        <f t="shared" si="28"/>
        <v>4195.0115245411116</v>
      </c>
      <c r="L270" s="629"/>
      <c r="M270" s="444"/>
      <c r="N270" s="737"/>
      <c r="O270" s="770"/>
      <c r="P270" s="727"/>
      <c r="Q270" s="739"/>
    </row>
    <row r="271" spans="1:17" ht="16.5" customHeight="1">
      <c r="A271" s="713">
        <f t="shared" si="25"/>
        <v>107</v>
      </c>
      <c r="B271" s="296" t="s">
        <v>516</v>
      </c>
      <c r="C271" s="728">
        <v>41981</v>
      </c>
      <c r="D271" s="728" t="s">
        <v>809</v>
      </c>
      <c r="E271" s="910">
        <v>59</v>
      </c>
      <c r="F271" s="911">
        <v>38</v>
      </c>
      <c r="G271" s="911">
        <v>17</v>
      </c>
      <c r="H271" s="832">
        <f t="shared" si="26"/>
        <v>1.1499999999999999</v>
      </c>
      <c r="I271" s="714">
        <v>1015</v>
      </c>
      <c r="J271" s="714">
        <f t="shared" si="27"/>
        <v>1167.25</v>
      </c>
      <c r="K271" s="714">
        <f t="shared" si="28"/>
        <v>9459.3397122005445</v>
      </c>
      <c r="L271" s="629"/>
      <c r="M271" s="444"/>
      <c r="N271" s="737"/>
      <c r="O271" s="770"/>
      <c r="P271" s="727"/>
      <c r="Q271" s="739"/>
    </row>
    <row r="272" spans="1:17" ht="16.5" customHeight="1">
      <c r="A272" s="713">
        <f t="shared" si="25"/>
        <v>108</v>
      </c>
      <c r="B272" s="296" t="s">
        <v>437</v>
      </c>
      <c r="C272" s="728">
        <v>41982</v>
      </c>
      <c r="D272" s="728" t="s">
        <v>810</v>
      </c>
      <c r="E272" s="910">
        <v>49</v>
      </c>
      <c r="F272" s="911">
        <v>38</v>
      </c>
      <c r="G272" s="911">
        <v>12</v>
      </c>
      <c r="H272" s="832">
        <f t="shared" si="26"/>
        <v>0.95</v>
      </c>
      <c r="I272" s="714">
        <v>440</v>
      </c>
      <c r="J272" s="714">
        <f t="shared" si="27"/>
        <v>418</v>
      </c>
      <c r="K272" s="714">
        <f t="shared" si="28"/>
        <v>7814.2371535569719</v>
      </c>
      <c r="L272" s="629"/>
      <c r="M272" s="444"/>
      <c r="N272" s="737"/>
      <c r="O272" s="770"/>
      <c r="P272" s="727"/>
      <c r="Q272" s="739"/>
    </row>
    <row r="273" spans="1:17" ht="16.5" customHeight="1">
      <c r="A273" s="713">
        <f t="shared" si="25"/>
        <v>109</v>
      </c>
      <c r="B273" s="296" t="s">
        <v>811</v>
      </c>
      <c r="C273" s="728">
        <v>41982</v>
      </c>
      <c r="D273" s="728" t="s">
        <v>810</v>
      </c>
      <c r="E273" s="910">
        <v>33.5</v>
      </c>
      <c r="F273" s="911">
        <v>25.3</v>
      </c>
      <c r="G273" s="911">
        <v>18.7</v>
      </c>
      <c r="H273" s="832">
        <f t="shared" si="26"/>
        <v>0.57999999999999996</v>
      </c>
      <c r="I273" s="714">
        <v>403</v>
      </c>
      <c r="J273" s="714">
        <f t="shared" si="27"/>
        <v>233.73999999999998</v>
      </c>
      <c r="K273" s="714">
        <f t="shared" si="28"/>
        <v>4770.7974200663621</v>
      </c>
      <c r="L273" s="629"/>
      <c r="M273" s="444"/>
      <c r="N273" s="737"/>
      <c r="O273" s="770"/>
      <c r="P273" s="727"/>
      <c r="Q273" s="739"/>
    </row>
    <row r="274" spans="1:17" ht="16.5" customHeight="1">
      <c r="A274" s="713">
        <f t="shared" si="25"/>
        <v>110</v>
      </c>
      <c r="B274" s="296" t="s">
        <v>437</v>
      </c>
      <c r="C274" s="728">
        <v>41982</v>
      </c>
      <c r="D274" s="728" t="s">
        <v>812</v>
      </c>
      <c r="E274" s="910">
        <v>49</v>
      </c>
      <c r="F274" s="911">
        <v>38</v>
      </c>
      <c r="G274" s="911">
        <v>12</v>
      </c>
      <c r="H274" s="832">
        <f t="shared" si="26"/>
        <v>0.95</v>
      </c>
      <c r="I274" s="714">
        <v>440</v>
      </c>
      <c r="J274" s="714">
        <f t="shared" si="27"/>
        <v>418</v>
      </c>
      <c r="K274" s="714">
        <f t="shared" si="28"/>
        <v>7814.2371535569719</v>
      </c>
      <c r="L274" s="629"/>
      <c r="M274" s="444"/>
      <c r="N274" s="737"/>
      <c r="O274" s="770"/>
      <c r="P274" s="727"/>
      <c r="Q274" s="739"/>
    </row>
    <row r="275" spans="1:17" ht="16.5" customHeight="1">
      <c r="A275" s="713">
        <f t="shared" si="25"/>
        <v>111</v>
      </c>
      <c r="B275" s="296" t="s">
        <v>484</v>
      </c>
      <c r="C275" s="728">
        <v>41985</v>
      </c>
      <c r="D275" s="728" t="s">
        <v>813</v>
      </c>
      <c r="E275" s="910">
        <v>49.5</v>
      </c>
      <c r="F275" s="911">
        <v>38.5</v>
      </c>
      <c r="G275" s="911">
        <v>32.5</v>
      </c>
      <c r="H275" s="832">
        <f t="shared" si="26"/>
        <v>1.34</v>
      </c>
      <c r="I275" s="714">
        <v>411</v>
      </c>
      <c r="J275" s="714">
        <f t="shared" si="27"/>
        <v>550.74</v>
      </c>
      <c r="K275" s="714">
        <f t="shared" si="28"/>
        <v>11022.18714291194</v>
      </c>
      <c r="L275" s="629"/>
      <c r="M275" s="444"/>
      <c r="N275" s="737"/>
      <c r="O275" s="770"/>
      <c r="P275" s="727"/>
      <c r="Q275" s="739"/>
    </row>
    <row r="276" spans="1:17" ht="16.5" customHeight="1">
      <c r="A276" s="713">
        <f t="shared" si="25"/>
        <v>112</v>
      </c>
      <c r="B276" s="296" t="s">
        <v>814</v>
      </c>
      <c r="C276" s="728">
        <v>41985</v>
      </c>
      <c r="D276" s="728" t="s">
        <v>815</v>
      </c>
      <c r="E276" s="910">
        <v>100</v>
      </c>
      <c r="F276" s="911">
        <v>52</v>
      </c>
      <c r="G276" s="911">
        <v>27</v>
      </c>
      <c r="H276" s="832">
        <f t="shared" si="26"/>
        <v>2.5299999999999998</v>
      </c>
      <c r="I276" s="714">
        <v>89</v>
      </c>
      <c r="J276" s="714">
        <f t="shared" si="27"/>
        <v>225.17</v>
      </c>
      <c r="K276" s="714">
        <f t="shared" si="28"/>
        <v>20810.547366841198</v>
      </c>
      <c r="L276" s="629"/>
      <c r="M276" s="444"/>
      <c r="N276" s="737"/>
      <c r="O276" s="770"/>
      <c r="P276" s="727"/>
      <c r="Q276" s="739"/>
    </row>
    <row r="277" spans="1:17" ht="16.5" customHeight="1">
      <c r="A277" s="713">
        <f t="shared" si="25"/>
        <v>113</v>
      </c>
      <c r="B277" s="296" t="s">
        <v>816</v>
      </c>
      <c r="C277" s="728">
        <v>41985</v>
      </c>
      <c r="D277" s="728" t="s">
        <v>817</v>
      </c>
      <c r="E277" s="910">
        <v>103</v>
      </c>
      <c r="F277" s="911">
        <v>50</v>
      </c>
      <c r="G277" s="911">
        <v>180</v>
      </c>
      <c r="H277" s="832">
        <f t="shared" si="26"/>
        <v>7.25</v>
      </c>
      <c r="I277" s="714">
        <v>350</v>
      </c>
      <c r="J277" s="714">
        <f t="shared" si="27"/>
        <v>2537.5</v>
      </c>
      <c r="K277" s="714">
        <f t="shared" si="28"/>
        <v>59634.967750829528</v>
      </c>
      <c r="L277" s="629"/>
      <c r="M277" s="444"/>
      <c r="N277" s="737"/>
      <c r="O277" s="770"/>
      <c r="P277" s="727"/>
      <c r="Q277" s="739"/>
    </row>
    <row r="278" spans="1:17" ht="16.5" customHeight="1">
      <c r="A278" s="713">
        <f t="shared" si="25"/>
        <v>114</v>
      </c>
      <c r="B278" s="296" t="s">
        <v>818</v>
      </c>
      <c r="C278" s="728">
        <v>41986</v>
      </c>
      <c r="D278" s="728" t="s">
        <v>819</v>
      </c>
      <c r="E278" s="910">
        <v>48</v>
      </c>
      <c r="F278" s="911">
        <v>37.5</v>
      </c>
      <c r="G278" s="911">
        <v>12</v>
      </c>
      <c r="H278" s="832">
        <f t="shared" si="26"/>
        <v>0.92</v>
      </c>
      <c r="I278" s="714">
        <v>223</v>
      </c>
      <c r="J278" s="714">
        <f t="shared" si="27"/>
        <v>205.16</v>
      </c>
      <c r="K278" s="714">
        <f t="shared" si="28"/>
        <v>7567.4717697604365</v>
      </c>
      <c r="L278" s="629"/>
      <c r="M278" s="444"/>
      <c r="N278" s="737"/>
      <c r="O278" s="770"/>
      <c r="P278" s="727"/>
      <c r="Q278" s="739"/>
    </row>
    <row r="279" spans="1:17" ht="16.5" customHeight="1">
      <c r="A279" s="713">
        <f t="shared" si="25"/>
        <v>115</v>
      </c>
      <c r="B279" s="296" t="s">
        <v>820</v>
      </c>
      <c r="C279" s="728">
        <v>41986</v>
      </c>
      <c r="D279" s="728" t="s">
        <v>821</v>
      </c>
      <c r="E279" s="910">
        <v>102</v>
      </c>
      <c r="F279" s="911">
        <v>54</v>
      </c>
      <c r="G279" s="911">
        <v>178</v>
      </c>
      <c r="H279" s="832">
        <f t="shared" si="26"/>
        <v>7.45</v>
      </c>
      <c r="I279" s="714">
        <v>200</v>
      </c>
      <c r="J279" s="714">
        <f t="shared" si="27"/>
        <v>1490</v>
      </c>
      <c r="K279" s="714">
        <f t="shared" si="28"/>
        <v>61280.0703094731</v>
      </c>
      <c r="L279" s="629"/>
      <c r="M279" s="444"/>
      <c r="N279" s="737"/>
      <c r="O279" s="770"/>
      <c r="P279" s="727"/>
      <c r="Q279" s="739"/>
    </row>
    <row r="280" spans="1:17" ht="16.5" customHeight="1">
      <c r="A280" s="713">
        <f t="shared" si="25"/>
        <v>116</v>
      </c>
      <c r="B280" s="192" t="s">
        <v>704</v>
      </c>
      <c r="C280" s="728">
        <v>41986</v>
      </c>
      <c r="D280" s="728" t="s">
        <v>822</v>
      </c>
      <c r="E280" s="910">
        <v>36.5</v>
      </c>
      <c r="F280" s="911">
        <v>29.5</v>
      </c>
      <c r="G280" s="911">
        <v>35</v>
      </c>
      <c r="H280" s="832">
        <f t="shared" si="26"/>
        <v>0.92</v>
      </c>
      <c r="I280" s="714">
        <v>3160</v>
      </c>
      <c r="J280" s="714">
        <f t="shared" si="27"/>
        <v>2907.2000000000003</v>
      </c>
      <c r="K280" s="714">
        <f t="shared" si="28"/>
        <v>7567.4717697604365</v>
      </c>
      <c r="L280" s="629"/>
      <c r="M280" s="444"/>
      <c r="N280" s="737"/>
      <c r="O280" s="770"/>
      <c r="P280" s="727"/>
      <c r="Q280" s="739"/>
    </row>
    <row r="281" spans="1:17" ht="16.5" customHeight="1">
      <c r="A281" s="713">
        <f t="shared" si="25"/>
        <v>117</v>
      </c>
      <c r="B281" s="192" t="s">
        <v>709</v>
      </c>
      <c r="C281" s="728">
        <v>41986</v>
      </c>
      <c r="D281" s="728" t="s">
        <v>822</v>
      </c>
      <c r="E281" s="910">
        <v>41.5</v>
      </c>
      <c r="F281" s="911">
        <v>38.5</v>
      </c>
      <c r="G281" s="911">
        <v>27</v>
      </c>
      <c r="H281" s="832">
        <f t="shared" si="26"/>
        <v>1.1299999999999999</v>
      </c>
      <c r="I281" s="714">
        <v>301</v>
      </c>
      <c r="J281" s="714">
        <f t="shared" si="27"/>
        <v>340.13</v>
      </c>
      <c r="K281" s="714">
        <f t="shared" si="28"/>
        <v>9294.8294563361869</v>
      </c>
      <c r="L281" s="629"/>
      <c r="M281" s="444"/>
      <c r="N281" s="737"/>
      <c r="O281" s="770"/>
      <c r="P281" s="727"/>
      <c r="Q281" s="739"/>
    </row>
    <row r="282" spans="1:17" ht="16.5" customHeight="1">
      <c r="A282" s="713">
        <f t="shared" si="25"/>
        <v>118</v>
      </c>
      <c r="B282" s="296" t="s">
        <v>713</v>
      </c>
      <c r="C282" s="728">
        <v>41986</v>
      </c>
      <c r="D282" s="728" t="s">
        <v>823</v>
      </c>
      <c r="E282" s="910">
        <v>51</v>
      </c>
      <c r="F282" s="911">
        <v>37</v>
      </c>
      <c r="G282" s="911">
        <v>27</v>
      </c>
      <c r="H282" s="832">
        <f t="shared" si="26"/>
        <v>1.21</v>
      </c>
      <c r="I282" s="714">
        <v>20</v>
      </c>
      <c r="J282" s="714">
        <f t="shared" si="27"/>
        <v>24.2</v>
      </c>
      <c r="K282" s="714">
        <f t="shared" si="28"/>
        <v>9952.8704797936171</v>
      </c>
      <c r="L282" s="629"/>
      <c r="M282" s="444"/>
      <c r="N282" s="737"/>
      <c r="O282" s="770"/>
      <c r="P282" s="727"/>
      <c r="Q282" s="739"/>
    </row>
    <row r="283" spans="1:17" ht="16.5" customHeight="1">
      <c r="A283" s="713">
        <f t="shared" si="25"/>
        <v>119</v>
      </c>
      <c r="B283" s="296" t="s">
        <v>824</v>
      </c>
      <c r="C283" s="728">
        <v>41986</v>
      </c>
      <c r="D283" s="728" t="s">
        <v>823</v>
      </c>
      <c r="E283" s="910">
        <v>58</v>
      </c>
      <c r="F283" s="911">
        <v>35</v>
      </c>
      <c r="G283" s="911">
        <v>26</v>
      </c>
      <c r="H283" s="832">
        <f t="shared" si="26"/>
        <v>1.22</v>
      </c>
      <c r="I283" s="714">
        <v>47</v>
      </c>
      <c r="J283" s="714">
        <f t="shared" si="27"/>
        <v>57.339999999999996</v>
      </c>
      <c r="K283" s="714">
        <f t="shared" si="28"/>
        <v>10035.125607725797</v>
      </c>
      <c r="L283" s="629"/>
      <c r="M283" s="444"/>
      <c r="N283" s="737"/>
      <c r="O283" s="770"/>
      <c r="P283" s="727"/>
      <c r="Q283" s="739"/>
    </row>
    <row r="284" spans="1:17" ht="16.5" customHeight="1">
      <c r="A284" s="713">
        <f t="shared" si="25"/>
        <v>120</v>
      </c>
      <c r="B284" s="296" t="s">
        <v>825</v>
      </c>
      <c r="C284" s="728">
        <v>41986</v>
      </c>
      <c r="D284" s="728" t="s">
        <v>823</v>
      </c>
      <c r="E284" s="910">
        <v>54</v>
      </c>
      <c r="F284" s="911">
        <v>54</v>
      </c>
      <c r="G284" s="911">
        <v>26</v>
      </c>
      <c r="H284" s="832">
        <f t="shared" si="26"/>
        <v>1.83</v>
      </c>
      <c r="I284" s="714">
        <v>902</v>
      </c>
      <c r="J284" s="714">
        <f t="shared" si="27"/>
        <v>1650.66</v>
      </c>
      <c r="K284" s="714">
        <f t="shared" si="28"/>
        <v>15052.688411588695</v>
      </c>
      <c r="L284" s="629"/>
      <c r="M284" s="444"/>
      <c r="N284" s="737"/>
      <c r="O284" s="770"/>
      <c r="P284" s="727"/>
      <c r="Q284" s="739"/>
    </row>
    <row r="285" spans="1:17" ht="16.5" customHeight="1">
      <c r="A285" s="713">
        <f t="shared" si="25"/>
        <v>121</v>
      </c>
      <c r="B285" s="296" t="s">
        <v>826</v>
      </c>
      <c r="C285" s="728">
        <v>41988</v>
      </c>
      <c r="D285" s="728" t="s">
        <v>827</v>
      </c>
      <c r="E285" s="910">
        <v>51</v>
      </c>
      <c r="F285" s="911">
        <v>36</v>
      </c>
      <c r="G285" s="911">
        <v>34</v>
      </c>
      <c r="H285" s="832">
        <f t="shared" si="26"/>
        <v>1.31</v>
      </c>
      <c r="I285" s="714">
        <v>352</v>
      </c>
      <c r="J285" s="714">
        <f t="shared" si="27"/>
        <v>461.12</v>
      </c>
      <c r="K285" s="714">
        <f t="shared" si="28"/>
        <v>10775.421759115405</v>
      </c>
      <c r="L285" s="629"/>
      <c r="M285" s="444"/>
      <c r="N285" s="737"/>
      <c r="O285" s="770"/>
      <c r="P285" s="727"/>
      <c r="Q285" s="739"/>
    </row>
    <row r="286" spans="1:17" ht="16.5" customHeight="1">
      <c r="A286" s="713">
        <f t="shared" si="25"/>
        <v>122</v>
      </c>
      <c r="B286" s="296" t="s">
        <v>828</v>
      </c>
      <c r="C286" s="728">
        <v>41988</v>
      </c>
      <c r="D286" s="728" t="s">
        <v>827</v>
      </c>
      <c r="E286" s="910">
        <v>60</v>
      </c>
      <c r="F286" s="911">
        <v>40</v>
      </c>
      <c r="G286" s="911">
        <v>40</v>
      </c>
      <c r="H286" s="832">
        <f t="shared" si="26"/>
        <v>1.7</v>
      </c>
      <c r="I286" s="714">
        <v>52</v>
      </c>
      <c r="J286" s="714">
        <f t="shared" si="27"/>
        <v>88.399999999999991</v>
      </c>
      <c r="K286" s="714">
        <f t="shared" si="28"/>
        <v>13983.371748470372</v>
      </c>
      <c r="L286" s="629"/>
      <c r="M286" s="444"/>
      <c r="N286" s="737"/>
      <c r="O286" s="770"/>
      <c r="P286" s="727"/>
      <c r="Q286" s="739"/>
    </row>
    <row r="287" spans="1:17" ht="16.5" customHeight="1">
      <c r="A287" s="713">
        <f t="shared" si="25"/>
        <v>123</v>
      </c>
      <c r="B287" s="296" t="s">
        <v>829</v>
      </c>
      <c r="C287" s="728">
        <v>41988</v>
      </c>
      <c r="D287" s="728" t="s">
        <v>827</v>
      </c>
      <c r="E287" s="910">
        <v>63.5</v>
      </c>
      <c r="F287" s="911">
        <v>50.8</v>
      </c>
      <c r="G287" s="911">
        <v>30.48</v>
      </c>
      <c r="H287" s="832">
        <f t="shared" si="26"/>
        <v>1.97</v>
      </c>
      <c r="I287" s="714">
        <v>52</v>
      </c>
      <c r="J287" s="714">
        <f t="shared" si="27"/>
        <v>102.44</v>
      </c>
      <c r="K287" s="714">
        <f t="shared" si="28"/>
        <v>16204.260202639196</v>
      </c>
      <c r="L287" s="629"/>
      <c r="M287" s="444"/>
      <c r="N287" s="737"/>
      <c r="O287" s="770"/>
      <c r="P287" s="727"/>
      <c r="Q287" s="739"/>
    </row>
    <row r="288" spans="1:17" ht="16.5" customHeight="1">
      <c r="A288" s="713">
        <f t="shared" si="25"/>
        <v>124</v>
      </c>
      <c r="B288" s="296" t="s">
        <v>437</v>
      </c>
      <c r="C288" s="728">
        <v>41991</v>
      </c>
      <c r="D288" s="728" t="s">
        <v>830</v>
      </c>
      <c r="E288" s="910">
        <v>49</v>
      </c>
      <c r="F288" s="911">
        <v>38</v>
      </c>
      <c r="G288" s="911">
        <v>12</v>
      </c>
      <c r="H288" s="832">
        <f t="shared" si="26"/>
        <v>0.95</v>
      </c>
      <c r="I288" s="714">
        <v>522</v>
      </c>
      <c r="J288" s="714">
        <f t="shared" si="27"/>
        <v>495.9</v>
      </c>
      <c r="K288" s="714">
        <f t="shared" si="28"/>
        <v>7814.2371535569719</v>
      </c>
      <c r="L288" s="629"/>
      <c r="M288" s="444"/>
      <c r="N288" s="737"/>
      <c r="O288" s="770"/>
      <c r="P288" s="727"/>
      <c r="Q288" s="739"/>
    </row>
    <row r="289" spans="1:17" ht="16.5" customHeight="1">
      <c r="A289" s="713">
        <f t="shared" si="25"/>
        <v>125</v>
      </c>
      <c r="B289" s="296" t="s">
        <v>831</v>
      </c>
      <c r="C289" s="728">
        <v>41992</v>
      </c>
      <c r="D289" s="728" t="s">
        <v>832</v>
      </c>
      <c r="E289" s="910">
        <v>57.5</v>
      </c>
      <c r="F289" s="911">
        <v>59</v>
      </c>
      <c r="G289" s="911"/>
      <c r="H289" s="832">
        <f t="shared" si="26"/>
        <v>0.34</v>
      </c>
      <c r="I289" s="714">
        <v>2500</v>
      </c>
      <c r="J289" s="714">
        <f t="shared" si="27"/>
        <v>850.00000000000011</v>
      </c>
      <c r="K289" s="714">
        <f t="shared" si="28"/>
        <v>2796.6743496940744</v>
      </c>
      <c r="L289" s="629"/>
      <c r="M289" s="444"/>
      <c r="N289" s="737"/>
      <c r="O289" s="770"/>
      <c r="P289" s="727"/>
      <c r="Q289" s="739"/>
    </row>
    <row r="290" spans="1:17" ht="16.5" customHeight="1">
      <c r="A290" s="713">
        <f t="shared" si="25"/>
        <v>126</v>
      </c>
      <c r="B290" s="296" t="s">
        <v>834</v>
      </c>
      <c r="C290" s="728">
        <v>41992</v>
      </c>
      <c r="D290" s="728" t="s">
        <v>832</v>
      </c>
      <c r="E290" s="910">
        <v>95</v>
      </c>
      <c r="F290" s="911">
        <v>64</v>
      </c>
      <c r="G290" s="911"/>
      <c r="H290" s="832">
        <f t="shared" si="26"/>
        <v>0.61</v>
      </c>
      <c r="I290" s="714">
        <v>2200</v>
      </c>
      <c r="J290" s="714">
        <f t="shared" si="27"/>
        <v>1342</v>
      </c>
      <c r="K290" s="714">
        <f t="shared" si="28"/>
        <v>5017.5628038628984</v>
      </c>
      <c r="L290" s="629"/>
      <c r="M290" s="444"/>
      <c r="N290" s="737"/>
      <c r="O290" s="770"/>
      <c r="P290" s="727"/>
      <c r="Q290" s="739"/>
    </row>
    <row r="291" spans="1:17" ht="16.5" customHeight="1">
      <c r="A291" s="713">
        <f t="shared" si="25"/>
        <v>127</v>
      </c>
      <c r="B291" s="296" t="s">
        <v>835</v>
      </c>
      <c r="C291" s="728">
        <v>41993</v>
      </c>
      <c r="D291" s="728" t="s">
        <v>836</v>
      </c>
      <c r="E291" s="910">
        <v>130</v>
      </c>
      <c r="F291" s="911">
        <v>170</v>
      </c>
      <c r="G291" s="911"/>
      <c r="H291" s="832">
        <f t="shared" si="26"/>
        <v>2.21</v>
      </c>
      <c r="I291" s="714">
        <v>500</v>
      </c>
      <c r="J291" s="714">
        <f t="shared" si="27"/>
        <v>1105</v>
      </c>
      <c r="K291" s="714">
        <f t="shared" si="28"/>
        <v>18178.383273011485</v>
      </c>
      <c r="L291" s="629"/>
      <c r="M291" s="444"/>
      <c r="N291" s="737"/>
      <c r="O291" s="770"/>
      <c r="P291" s="727"/>
      <c r="Q291" s="739"/>
    </row>
    <row r="292" spans="1:17" ht="16.5" customHeight="1">
      <c r="A292" s="713">
        <f t="shared" si="25"/>
        <v>128</v>
      </c>
      <c r="B292" s="296" t="s">
        <v>837</v>
      </c>
      <c r="C292" s="728">
        <v>41993</v>
      </c>
      <c r="D292" s="728" t="s">
        <v>838</v>
      </c>
      <c r="E292" s="910">
        <v>50</v>
      </c>
      <c r="F292" s="911">
        <v>35</v>
      </c>
      <c r="G292" s="911">
        <v>35</v>
      </c>
      <c r="H292" s="832">
        <f t="shared" si="26"/>
        <v>1.28</v>
      </c>
      <c r="I292" s="714">
        <v>213</v>
      </c>
      <c r="J292" s="714">
        <f t="shared" si="27"/>
        <v>272.64</v>
      </c>
      <c r="K292" s="714">
        <f t="shared" si="28"/>
        <v>10528.656375318868</v>
      </c>
      <c r="L292" s="629"/>
      <c r="M292" s="444"/>
      <c r="N292" s="737"/>
      <c r="O292" s="770"/>
      <c r="P292" s="727"/>
      <c r="Q292" s="739"/>
    </row>
    <row r="293" spans="1:17" ht="16.5" customHeight="1">
      <c r="A293" s="713">
        <f t="shared" ref="A293:A339" si="29">IF(B293&lt;&gt;"",A292+1,"")</f>
        <v>129</v>
      </c>
      <c r="B293" s="189" t="s">
        <v>1211</v>
      </c>
      <c r="C293" s="728">
        <v>41995</v>
      </c>
      <c r="D293" s="728" t="s">
        <v>840</v>
      </c>
      <c r="E293" s="910">
        <v>45</v>
      </c>
      <c r="F293" s="911">
        <v>37</v>
      </c>
      <c r="G293" s="911">
        <v>27.5</v>
      </c>
      <c r="H293" s="832">
        <f t="shared" si="26"/>
        <v>1.1399999999999999</v>
      </c>
      <c r="I293" s="714">
        <v>819</v>
      </c>
      <c r="J293" s="714">
        <f t="shared" si="27"/>
        <v>933.66</v>
      </c>
      <c r="K293" s="714">
        <f t="shared" si="28"/>
        <v>9377.0845842683666</v>
      </c>
      <c r="L293" s="629"/>
      <c r="M293" s="444"/>
      <c r="N293" s="737"/>
      <c r="O293" s="770"/>
      <c r="P293" s="727"/>
      <c r="Q293" s="739"/>
    </row>
    <row r="294" spans="1:17" ht="16.5" customHeight="1">
      <c r="A294" s="713">
        <f t="shared" si="29"/>
        <v>130</v>
      </c>
      <c r="B294" s="296" t="s">
        <v>446</v>
      </c>
      <c r="C294" s="728">
        <v>41995</v>
      </c>
      <c r="D294" s="728" t="s">
        <v>840</v>
      </c>
      <c r="E294" s="910">
        <v>50</v>
      </c>
      <c r="F294" s="911">
        <v>20</v>
      </c>
      <c r="G294" s="911"/>
      <c r="H294" s="832">
        <f t="shared" ref="H294:H339" si="30">IF(G294&lt;&gt;"",ROUND(((E294+F294)*2+5)*(F294+G294+3)/10000,2),ROUND(E294*F294/10000,2))</f>
        <v>0.1</v>
      </c>
      <c r="I294" s="714">
        <v>1638</v>
      </c>
      <c r="J294" s="714">
        <f t="shared" ref="J294:J339" si="31">H294*I294</f>
        <v>163.80000000000001</v>
      </c>
      <c r="K294" s="714">
        <f t="shared" ref="K294:K339" si="32">H294*$Q$198</f>
        <v>822.55127932178664</v>
      </c>
      <c r="L294" s="629"/>
      <c r="M294" s="444"/>
      <c r="N294" s="737"/>
      <c r="O294" s="770"/>
      <c r="P294" s="727"/>
      <c r="Q294" s="739"/>
    </row>
    <row r="295" spans="1:17" ht="16.5" customHeight="1">
      <c r="A295" s="713">
        <f t="shared" si="29"/>
        <v>131</v>
      </c>
      <c r="B295" s="296" t="s">
        <v>742</v>
      </c>
      <c r="C295" s="728">
        <v>41997</v>
      </c>
      <c r="D295" s="728" t="s">
        <v>841</v>
      </c>
      <c r="E295" s="910">
        <v>37.5</v>
      </c>
      <c r="F295" s="911">
        <v>25.3</v>
      </c>
      <c r="G295" s="911">
        <v>23.9</v>
      </c>
      <c r="H295" s="832">
        <f t="shared" si="30"/>
        <v>0.68</v>
      </c>
      <c r="I295" s="714">
        <v>517</v>
      </c>
      <c r="J295" s="714">
        <f t="shared" si="31"/>
        <v>351.56</v>
      </c>
      <c r="K295" s="714">
        <f t="shared" si="32"/>
        <v>5593.3486993881488</v>
      </c>
      <c r="L295" s="629"/>
      <c r="M295" s="444"/>
      <c r="N295" s="737"/>
      <c r="O295" s="770"/>
      <c r="P295" s="727"/>
      <c r="Q295" s="739"/>
    </row>
    <row r="296" spans="1:17" ht="16.5" customHeight="1">
      <c r="A296" s="713">
        <f t="shared" si="29"/>
        <v>132</v>
      </c>
      <c r="B296" s="296" t="s">
        <v>842</v>
      </c>
      <c r="C296" s="728">
        <v>41997</v>
      </c>
      <c r="D296" s="728" t="s">
        <v>843</v>
      </c>
      <c r="E296" s="910">
        <v>51</v>
      </c>
      <c r="F296" s="911">
        <v>36</v>
      </c>
      <c r="G296" s="911">
        <v>15</v>
      </c>
      <c r="H296" s="832">
        <f t="shared" si="30"/>
        <v>0.97</v>
      </c>
      <c r="I296" s="714">
        <v>701</v>
      </c>
      <c r="J296" s="714">
        <f t="shared" si="31"/>
        <v>679.97</v>
      </c>
      <c r="K296" s="714">
        <f t="shared" si="32"/>
        <v>7978.7474094213294</v>
      </c>
      <c r="L296" s="629"/>
      <c r="M296" s="444"/>
      <c r="N296" s="737"/>
      <c r="O296" s="770"/>
      <c r="P296" s="727"/>
      <c r="Q296" s="739"/>
    </row>
    <row r="297" spans="1:17" ht="16.5" customHeight="1">
      <c r="A297" s="713">
        <f t="shared" si="29"/>
        <v>133</v>
      </c>
      <c r="B297" s="296" t="s">
        <v>844</v>
      </c>
      <c r="C297" s="728">
        <v>41997</v>
      </c>
      <c r="D297" s="728" t="s">
        <v>843</v>
      </c>
      <c r="E297" s="910">
        <v>69</v>
      </c>
      <c r="F297" s="911">
        <v>51</v>
      </c>
      <c r="G297" s="911">
        <v>28</v>
      </c>
      <c r="H297" s="832">
        <f t="shared" si="30"/>
        <v>2.0099999999999998</v>
      </c>
      <c r="I297" s="714">
        <v>59</v>
      </c>
      <c r="J297" s="714">
        <f t="shared" si="31"/>
        <v>118.58999999999999</v>
      </c>
      <c r="K297" s="714">
        <f t="shared" si="32"/>
        <v>16533.280714367909</v>
      </c>
      <c r="L297" s="629"/>
      <c r="M297" s="444"/>
      <c r="N297" s="737"/>
      <c r="O297" s="770"/>
      <c r="P297" s="727"/>
      <c r="Q297" s="739"/>
    </row>
    <row r="298" spans="1:17" ht="16.5" customHeight="1">
      <c r="A298" s="713">
        <f t="shared" si="29"/>
        <v>134</v>
      </c>
      <c r="B298" s="296" t="s">
        <v>1206</v>
      </c>
      <c r="C298" s="728">
        <v>41997</v>
      </c>
      <c r="D298" s="728" t="s">
        <v>843</v>
      </c>
      <c r="E298" s="910">
        <v>41</v>
      </c>
      <c r="F298" s="911">
        <v>26</v>
      </c>
      <c r="G298" s="911"/>
      <c r="H298" s="832">
        <f t="shared" si="30"/>
        <v>0.11</v>
      </c>
      <c r="I298" s="714">
        <v>1402</v>
      </c>
      <c r="J298" s="714">
        <f t="shared" si="31"/>
        <v>154.22</v>
      </c>
      <c r="K298" s="714">
        <f t="shared" si="32"/>
        <v>904.80640725396518</v>
      </c>
      <c r="L298" s="629"/>
      <c r="M298" s="444"/>
      <c r="N298" s="737"/>
      <c r="O298" s="770"/>
      <c r="P298" s="727"/>
      <c r="Q298" s="739"/>
    </row>
    <row r="299" spans="1:17" ht="16.5" customHeight="1">
      <c r="A299" s="713">
        <f t="shared" si="29"/>
        <v>135</v>
      </c>
      <c r="B299" s="296" t="s">
        <v>1207</v>
      </c>
      <c r="C299" s="728">
        <v>41997</v>
      </c>
      <c r="D299" s="728" t="s">
        <v>843</v>
      </c>
      <c r="E299" s="910">
        <v>59</v>
      </c>
      <c r="F299" s="911">
        <v>41</v>
      </c>
      <c r="G299" s="911"/>
      <c r="H299" s="832">
        <f t="shared" si="30"/>
        <v>0.24</v>
      </c>
      <c r="I299" s="714">
        <v>118</v>
      </c>
      <c r="J299" s="714">
        <f t="shared" si="31"/>
        <v>28.32</v>
      </c>
      <c r="K299" s="714">
        <f t="shared" si="32"/>
        <v>1974.1230703722877</v>
      </c>
      <c r="L299" s="629"/>
      <c r="M299" s="444"/>
      <c r="N299" s="737"/>
      <c r="O299" s="770"/>
      <c r="P299" s="727"/>
      <c r="Q299" s="739"/>
    </row>
    <row r="300" spans="1:17" ht="16.5" customHeight="1">
      <c r="A300" s="713">
        <f t="shared" si="29"/>
        <v>136</v>
      </c>
      <c r="B300" s="296" t="s">
        <v>845</v>
      </c>
      <c r="C300" s="728">
        <v>41997</v>
      </c>
      <c r="D300" s="728" t="s">
        <v>846</v>
      </c>
      <c r="E300" s="910">
        <v>35</v>
      </c>
      <c r="F300" s="911">
        <v>27</v>
      </c>
      <c r="G300" s="911">
        <v>22</v>
      </c>
      <c r="H300" s="832">
        <f t="shared" si="30"/>
        <v>0.67</v>
      </c>
      <c r="I300" s="714">
        <v>42</v>
      </c>
      <c r="J300" s="714">
        <f t="shared" si="31"/>
        <v>28.14</v>
      </c>
      <c r="K300" s="714">
        <f t="shared" si="32"/>
        <v>5511.0935714559701</v>
      </c>
      <c r="L300" s="629"/>
      <c r="M300" s="444"/>
      <c r="N300" s="737"/>
      <c r="O300" s="770"/>
      <c r="P300" s="727"/>
      <c r="Q300" s="739"/>
    </row>
    <row r="301" spans="1:17" ht="16.5" customHeight="1">
      <c r="A301" s="713">
        <f t="shared" si="29"/>
        <v>137</v>
      </c>
      <c r="B301" s="296" t="s">
        <v>848</v>
      </c>
      <c r="C301" s="728">
        <v>41997</v>
      </c>
      <c r="D301" s="728" t="s">
        <v>846</v>
      </c>
      <c r="E301" s="910">
        <v>38</v>
      </c>
      <c r="F301" s="911">
        <v>33</v>
      </c>
      <c r="G301" s="911">
        <v>22</v>
      </c>
      <c r="H301" s="832">
        <f t="shared" si="30"/>
        <v>0.85</v>
      </c>
      <c r="I301" s="714">
        <v>137</v>
      </c>
      <c r="J301" s="714">
        <f t="shared" si="31"/>
        <v>116.45</v>
      </c>
      <c r="K301" s="714">
        <f t="shared" si="32"/>
        <v>6991.685874235186</v>
      </c>
      <c r="L301" s="629"/>
      <c r="M301" s="444"/>
      <c r="N301" s="737"/>
      <c r="O301" s="770"/>
      <c r="P301" s="727"/>
      <c r="Q301" s="739"/>
    </row>
    <row r="302" spans="1:17" ht="16.5" customHeight="1">
      <c r="A302" s="713">
        <f t="shared" si="29"/>
        <v>138</v>
      </c>
      <c r="B302" s="296" t="s">
        <v>849</v>
      </c>
      <c r="C302" s="728">
        <v>41997</v>
      </c>
      <c r="D302" s="728" t="s">
        <v>846</v>
      </c>
      <c r="E302" s="910">
        <v>38</v>
      </c>
      <c r="F302" s="911">
        <v>35</v>
      </c>
      <c r="G302" s="911">
        <v>20</v>
      </c>
      <c r="H302" s="832">
        <f t="shared" si="30"/>
        <v>0.88</v>
      </c>
      <c r="I302" s="714">
        <v>44</v>
      </c>
      <c r="J302" s="714">
        <f t="shared" si="31"/>
        <v>38.72</v>
      </c>
      <c r="K302" s="714">
        <f t="shared" si="32"/>
        <v>7238.4512580317214</v>
      </c>
      <c r="L302" s="629"/>
      <c r="M302" s="444"/>
      <c r="N302" s="737"/>
      <c r="O302" s="770"/>
      <c r="P302" s="727"/>
      <c r="Q302" s="739"/>
    </row>
    <row r="303" spans="1:17" ht="16.5" customHeight="1">
      <c r="A303" s="713">
        <f t="shared" si="29"/>
        <v>139</v>
      </c>
      <c r="B303" s="296" t="s">
        <v>850</v>
      </c>
      <c r="C303" s="728">
        <v>41997</v>
      </c>
      <c r="D303" s="728" t="s">
        <v>846</v>
      </c>
      <c r="E303" s="910">
        <v>55</v>
      </c>
      <c r="F303" s="911">
        <v>27</v>
      </c>
      <c r="G303" s="911">
        <v>24</v>
      </c>
      <c r="H303" s="832">
        <f t="shared" si="30"/>
        <v>0.91</v>
      </c>
      <c r="I303" s="714">
        <v>966</v>
      </c>
      <c r="J303" s="714">
        <f t="shared" si="31"/>
        <v>879.06000000000006</v>
      </c>
      <c r="K303" s="714">
        <f t="shared" si="32"/>
        <v>7485.2166418282577</v>
      </c>
      <c r="L303" s="629"/>
      <c r="M303" s="444"/>
      <c r="N303" s="737"/>
      <c r="O303" s="770"/>
      <c r="P303" s="727"/>
      <c r="Q303" s="739"/>
    </row>
    <row r="304" spans="1:17" ht="16.5" customHeight="1">
      <c r="A304" s="713">
        <f t="shared" si="29"/>
        <v>140</v>
      </c>
      <c r="B304" s="296" t="s">
        <v>851</v>
      </c>
      <c r="C304" s="728">
        <v>41997</v>
      </c>
      <c r="D304" s="728" t="s">
        <v>846</v>
      </c>
      <c r="E304" s="910">
        <v>43</v>
      </c>
      <c r="F304" s="911">
        <v>41</v>
      </c>
      <c r="G304" s="911">
        <v>22</v>
      </c>
      <c r="H304" s="832">
        <f t="shared" si="30"/>
        <v>1.1399999999999999</v>
      </c>
      <c r="I304" s="714">
        <v>105</v>
      </c>
      <c r="J304" s="714">
        <f t="shared" si="31"/>
        <v>119.69999999999999</v>
      </c>
      <c r="K304" s="714">
        <f t="shared" si="32"/>
        <v>9377.0845842683666</v>
      </c>
      <c r="L304" s="629"/>
      <c r="M304" s="444"/>
      <c r="N304" s="737"/>
      <c r="O304" s="770"/>
      <c r="P304" s="727"/>
      <c r="Q304" s="739"/>
    </row>
    <row r="305" spans="1:17" ht="16.5" customHeight="1">
      <c r="A305" s="713">
        <f t="shared" si="29"/>
        <v>141</v>
      </c>
      <c r="B305" s="296" t="s">
        <v>852</v>
      </c>
      <c r="C305" s="728">
        <v>41997</v>
      </c>
      <c r="D305" s="728" t="s">
        <v>846</v>
      </c>
      <c r="E305" s="910">
        <v>43</v>
      </c>
      <c r="F305" s="911">
        <v>41</v>
      </c>
      <c r="G305" s="911">
        <v>23</v>
      </c>
      <c r="H305" s="832">
        <f t="shared" si="30"/>
        <v>1.1599999999999999</v>
      </c>
      <c r="I305" s="714">
        <v>25</v>
      </c>
      <c r="J305" s="714">
        <f t="shared" si="31"/>
        <v>28.999999999999996</v>
      </c>
      <c r="K305" s="714">
        <f t="shared" si="32"/>
        <v>9541.5948401327241</v>
      </c>
      <c r="L305" s="629"/>
      <c r="M305" s="444"/>
      <c r="N305" s="737"/>
      <c r="O305" s="770"/>
      <c r="P305" s="727"/>
      <c r="Q305" s="739"/>
    </row>
    <row r="306" spans="1:17" ht="16.5" customHeight="1">
      <c r="A306" s="713">
        <f t="shared" si="29"/>
        <v>142</v>
      </c>
      <c r="B306" s="296" t="s">
        <v>853</v>
      </c>
      <c r="C306" s="728">
        <v>41997</v>
      </c>
      <c r="D306" s="728" t="s">
        <v>846</v>
      </c>
      <c r="E306" s="910">
        <v>46</v>
      </c>
      <c r="F306" s="911">
        <v>44</v>
      </c>
      <c r="G306" s="911">
        <v>22</v>
      </c>
      <c r="H306" s="832">
        <f t="shared" si="30"/>
        <v>1.28</v>
      </c>
      <c r="I306" s="714">
        <v>104</v>
      </c>
      <c r="J306" s="714">
        <f t="shared" si="31"/>
        <v>133.12</v>
      </c>
      <c r="K306" s="714">
        <f t="shared" si="32"/>
        <v>10528.656375318868</v>
      </c>
      <c r="L306" s="629"/>
      <c r="M306" s="444"/>
      <c r="N306" s="737"/>
      <c r="O306" s="770"/>
      <c r="P306" s="727"/>
      <c r="Q306" s="739"/>
    </row>
    <row r="307" spans="1:17" ht="16.5" customHeight="1">
      <c r="A307" s="713">
        <f t="shared" si="29"/>
        <v>143</v>
      </c>
      <c r="B307" s="296" t="s">
        <v>854</v>
      </c>
      <c r="C307" s="728">
        <v>41997</v>
      </c>
      <c r="D307" s="728" t="s">
        <v>846</v>
      </c>
      <c r="E307" s="910">
        <v>49</v>
      </c>
      <c r="F307" s="911">
        <v>44</v>
      </c>
      <c r="G307" s="911">
        <v>22</v>
      </c>
      <c r="H307" s="832">
        <f t="shared" si="30"/>
        <v>1.32</v>
      </c>
      <c r="I307" s="714">
        <v>108</v>
      </c>
      <c r="J307" s="714">
        <f t="shared" si="31"/>
        <v>142.56</v>
      </c>
      <c r="K307" s="714">
        <f t="shared" si="32"/>
        <v>10857.676887047583</v>
      </c>
      <c r="L307" s="629"/>
      <c r="M307" s="444"/>
      <c r="N307" s="737"/>
      <c r="O307" s="770"/>
      <c r="P307" s="727"/>
      <c r="Q307" s="739"/>
    </row>
    <row r="308" spans="1:17" ht="16.5" customHeight="1">
      <c r="A308" s="713">
        <f t="shared" si="29"/>
        <v>144</v>
      </c>
      <c r="B308" s="296" t="s">
        <v>855</v>
      </c>
      <c r="C308" s="728">
        <v>41997</v>
      </c>
      <c r="D308" s="728" t="s">
        <v>846</v>
      </c>
      <c r="E308" s="910">
        <v>55</v>
      </c>
      <c r="F308" s="911">
        <v>51</v>
      </c>
      <c r="G308" s="911">
        <v>16</v>
      </c>
      <c r="H308" s="832">
        <f t="shared" si="30"/>
        <v>1.52</v>
      </c>
      <c r="I308" s="714">
        <v>32</v>
      </c>
      <c r="J308" s="714">
        <f t="shared" si="31"/>
        <v>48.64</v>
      </c>
      <c r="K308" s="714">
        <f t="shared" si="32"/>
        <v>12502.779445691156</v>
      </c>
      <c r="L308" s="629"/>
      <c r="M308" s="444"/>
      <c r="N308" s="737"/>
      <c r="O308" s="770"/>
      <c r="P308" s="727"/>
      <c r="Q308" s="739"/>
    </row>
    <row r="309" spans="1:17" ht="16.5" customHeight="1">
      <c r="A309" s="713">
        <f t="shared" si="29"/>
        <v>145</v>
      </c>
      <c r="B309" s="296" t="s">
        <v>856</v>
      </c>
      <c r="C309" s="728">
        <v>41997</v>
      </c>
      <c r="D309" s="728" t="s">
        <v>846</v>
      </c>
      <c r="E309" s="910">
        <v>55</v>
      </c>
      <c r="F309" s="911">
        <v>51</v>
      </c>
      <c r="G309" s="911">
        <v>22</v>
      </c>
      <c r="H309" s="832">
        <f t="shared" si="30"/>
        <v>1.65</v>
      </c>
      <c r="I309" s="714">
        <v>63</v>
      </c>
      <c r="J309" s="714">
        <f t="shared" si="31"/>
        <v>103.94999999999999</v>
      </c>
      <c r="K309" s="714">
        <f t="shared" si="32"/>
        <v>13572.096108809477</v>
      </c>
      <c r="L309" s="629"/>
      <c r="M309" s="444"/>
      <c r="N309" s="737"/>
      <c r="O309" s="770"/>
      <c r="P309" s="727"/>
      <c r="Q309" s="739"/>
    </row>
    <row r="310" spans="1:17" ht="16.5" customHeight="1">
      <c r="A310" s="713">
        <f t="shared" si="29"/>
        <v>146</v>
      </c>
      <c r="B310" s="296" t="s">
        <v>437</v>
      </c>
      <c r="C310" s="728">
        <v>41998</v>
      </c>
      <c r="D310" s="728" t="s">
        <v>857</v>
      </c>
      <c r="E310" s="910">
        <v>49</v>
      </c>
      <c r="F310" s="911">
        <v>38</v>
      </c>
      <c r="G310" s="911">
        <v>12</v>
      </c>
      <c r="H310" s="832">
        <f t="shared" si="30"/>
        <v>0.95</v>
      </c>
      <c r="I310" s="714">
        <v>500</v>
      </c>
      <c r="J310" s="714">
        <f t="shared" si="31"/>
        <v>475</v>
      </c>
      <c r="K310" s="714">
        <f t="shared" si="32"/>
        <v>7814.2371535569719</v>
      </c>
      <c r="L310" s="629"/>
      <c r="M310" s="444"/>
      <c r="N310" s="737"/>
      <c r="O310" s="770"/>
      <c r="P310" s="727"/>
      <c r="Q310" s="739"/>
    </row>
    <row r="311" spans="1:17" ht="16.5" customHeight="1">
      <c r="A311" s="713">
        <f t="shared" si="29"/>
        <v>147</v>
      </c>
      <c r="B311" s="296" t="s">
        <v>460</v>
      </c>
      <c r="C311" s="728">
        <v>41998</v>
      </c>
      <c r="D311" s="728" t="s">
        <v>858</v>
      </c>
      <c r="E311" s="910">
        <v>55</v>
      </c>
      <c r="F311" s="911">
        <v>28</v>
      </c>
      <c r="G311" s="911">
        <v>23</v>
      </c>
      <c r="H311" s="832">
        <f t="shared" si="30"/>
        <v>0.92</v>
      </c>
      <c r="I311" s="714">
        <v>1000</v>
      </c>
      <c r="J311" s="714">
        <f t="shared" si="31"/>
        <v>920</v>
      </c>
      <c r="K311" s="714">
        <f t="shared" si="32"/>
        <v>7567.4717697604365</v>
      </c>
      <c r="L311" s="629"/>
      <c r="M311" s="444"/>
      <c r="N311" s="737"/>
      <c r="O311" s="770"/>
      <c r="P311" s="727"/>
      <c r="Q311" s="739"/>
    </row>
    <row r="312" spans="1:17" ht="16.5" customHeight="1">
      <c r="A312" s="713">
        <f t="shared" si="29"/>
        <v>148</v>
      </c>
      <c r="B312" s="296" t="s">
        <v>859</v>
      </c>
      <c r="C312" s="728">
        <v>41998</v>
      </c>
      <c r="D312" s="728" t="s">
        <v>860</v>
      </c>
      <c r="E312" s="910">
        <v>80</v>
      </c>
      <c r="F312" s="911">
        <v>54</v>
      </c>
      <c r="G312" s="911">
        <v>33</v>
      </c>
      <c r="H312" s="832">
        <f t="shared" si="30"/>
        <v>2.46</v>
      </c>
      <c r="I312" s="714">
        <v>45</v>
      </c>
      <c r="J312" s="714">
        <f t="shared" si="31"/>
        <v>110.7</v>
      </c>
      <c r="K312" s="714">
        <f t="shared" si="32"/>
        <v>20234.761471315949</v>
      </c>
      <c r="L312" s="629"/>
      <c r="M312" s="444"/>
      <c r="N312" s="737"/>
      <c r="O312" s="770"/>
      <c r="P312" s="727"/>
      <c r="Q312" s="739"/>
    </row>
    <row r="313" spans="1:17" ht="16.5" customHeight="1">
      <c r="A313" s="713">
        <f t="shared" si="29"/>
        <v>149</v>
      </c>
      <c r="B313" s="296" t="s">
        <v>747</v>
      </c>
      <c r="C313" s="728">
        <v>41998</v>
      </c>
      <c r="D313" s="728" t="s">
        <v>860</v>
      </c>
      <c r="E313" s="910">
        <v>60</v>
      </c>
      <c r="F313" s="911">
        <v>25</v>
      </c>
      <c r="G313" s="911"/>
      <c r="H313" s="832">
        <f t="shared" si="30"/>
        <v>0.15</v>
      </c>
      <c r="I313" s="714">
        <v>90</v>
      </c>
      <c r="J313" s="714">
        <f t="shared" si="31"/>
        <v>13.5</v>
      </c>
      <c r="K313" s="714">
        <f t="shared" si="32"/>
        <v>1233.8269189826799</v>
      </c>
      <c r="L313" s="629"/>
      <c r="M313" s="444"/>
      <c r="N313" s="737"/>
      <c r="O313" s="770"/>
      <c r="P313" s="727"/>
      <c r="Q313" s="739"/>
    </row>
    <row r="314" spans="1:17" ht="16.5" customHeight="1">
      <c r="A314" s="713">
        <f t="shared" si="29"/>
        <v>150</v>
      </c>
      <c r="B314" s="296" t="s">
        <v>861</v>
      </c>
      <c r="C314" s="728">
        <v>41999</v>
      </c>
      <c r="D314" s="728" t="s">
        <v>862</v>
      </c>
      <c r="E314" s="910">
        <v>61</v>
      </c>
      <c r="F314" s="911">
        <v>51</v>
      </c>
      <c r="G314" s="911">
        <v>30</v>
      </c>
      <c r="H314" s="832">
        <f t="shared" si="30"/>
        <v>1.92</v>
      </c>
      <c r="I314" s="714">
        <v>305</v>
      </c>
      <c r="J314" s="714">
        <f t="shared" si="31"/>
        <v>585.6</v>
      </c>
      <c r="K314" s="714">
        <f t="shared" si="32"/>
        <v>15792.984562978301</v>
      </c>
      <c r="L314" s="629"/>
      <c r="M314" s="444"/>
      <c r="N314" s="737"/>
      <c r="O314" s="770"/>
      <c r="P314" s="727"/>
      <c r="Q314" s="739"/>
    </row>
    <row r="315" spans="1:17" ht="16.5" customHeight="1">
      <c r="A315" s="713">
        <f t="shared" si="29"/>
        <v>151</v>
      </c>
      <c r="B315" s="296" t="s">
        <v>864</v>
      </c>
      <c r="C315" s="728">
        <v>41999</v>
      </c>
      <c r="D315" s="728" t="s">
        <v>862</v>
      </c>
      <c r="E315" s="910">
        <v>52</v>
      </c>
      <c r="F315" s="911">
        <v>26.5</v>
      </c>
      <c r="G315" s="911">
        <v>26.5</v>
      </c>
      <c r="H315" s="832">
        <f t="shared" si="30"/>
        <v>0.91</v>
      </c>
      <c r="I315" s="714">
        <v>615</v>
      </c>
      <c r="J315" s="714">
        <f t="shared" si="31"/>
        <v>559.65</v>
      </c>
      <c r="K315" s="714">
        <f t="shared" si="32"/>
        <v>7485.2166418282577</v>
      </c>
      <c r="L315" s="629"/>
      <c r="M315" s="444"/>
      <c r="N315" s="737"/>
      <c r="O315" s="770"/>
      <c r="P315" s="727"/>
      <c r="Q315" s="739"/>
    </row>
    <row r="316" spans="1:17" ht="16.5" customHeight="1">
      <c r="A316" s="713">
        <f t="shared" si="29"/>
        <v>152</v>
      </c>
      <c r="B316" s="192" t="s">
        <v>865</v>
      </c>
      <c r="C316" s="728">
        <v>41999</v>
      </c>
      <c r="D316" s="728" t="s">
        <v>862</v>
      </c>
      <c r="E316" s="910">
        <v>52</v>
      </c>
      <c r="F316" s="911">
        <v>24.5</v>
      </c>
      <c r="G316" s="911">
        <v>24.5</v>
      </c>
      <c r="H316" s="832">
        <f t="shared" si="30"/>
        <v>0.82</v>
      </c>
      <c r="I316" s="256">
        <v>953</v>
      </c>
      <c r="J316" s="714">
        <f t="shared" si="31"/>
        <v>781.45999999999992</v>
      </c>
      <c r="K316" s="714">
        <f t="shared" si="32"/>
        <v>6744.9204904386497</v>
      </c>
      <c r="L316" s="629"/>
      <c r="M316" s="444"/>
      <c r="N316" s="737"/>
      <c r="O316" s="770"/>
      <c r="P316" s="727"/>
      <c r="Q316" s="739"/>
    </row>
    <row r="317" spans="1:17" ht="16.5" customHeight="1">
      <c r="A317" s="713">
        <f t="shared" si="29"/>
        <v>153</v>
      </c>
      <c r="B317" s="192" t="s">
        <v>866</v>
      </c>
      <c r="C317" s="728">
        <v>41999</v>
      </c>
      <c r="D317" s="728" t="s">
        <v>862</v>
      </c>
      <c r="E317" s="910">
        <v>46</v>
      </c>
      <c r="F317" s="911">
        <v>23</v>
      </c>
      <c r="G317" s="911">
        <v>32.5</v>
      </c>
      <c r="H317" s="832">
        <f t="shared" si="30"/>
        <v>0.84</v>
      </c>
      <c r="I317" s="256">
        <v>300</v>
      </c>
      <c r="J317" s="714">
        <f t="shared" si="31"/>
        <v>252</v>
      </c>
      <c r="K317" s="714">
        <f t="shared" si="32"/>
        <v>6909.4307463030073</v>
      </c>
      <c r="L317" s="629"/>
      <c r="M317" s="444"/>
      <c r="N317" s="737"/>
      <c r="O317" s="770"/>
      <c r="P317" s="727"/>
      <c r="Q317" s="739"/>
    </row>
    <row r="318" spans="1:17" ht="16.5" customHeight="1">
      <c r="A318" s="713">
        <f t="shared" si="29"/>
        <v>154</v>
      </c>
      <c r="B318" s="192" t="s">
        <v>867</v>
      </c>
      <c r="C318" s="728">
        <v>41999</v>
      </c>
      <c r="D318" s="728" t="s">
        <v>868</v>
      </c>
      <c r="E318" s="910">
        <v>37.5</v>
      </c>
      <c r="F318" s="911">
        <v>22.8</v>
      </c>
      <c r="G318" s="911">
        <v>27</v>
      </c>
      <c r="H318" s="832">
        <f t="shared" si="30"/>
        <v>0.66</v>
      </c>
      <c r="I318" s="256">
        <v>416</v>
      </c>
      <c r="J318" s="714">
        <f t="shared" si="31"/>
        <v>274.56</v>
      </c>
      <c r="K318" s="714">
        <f t="shared" si="32"/>
        <v>5428.8384435237913</v>
      </c>
      <c r="L318" s="629"/>
      <c r="M318" s="444"/>
      <c r="N318" s="737"/>
      <c r="O318" s="770"/>
      <c r="P318" s="727"/>
      <c r="Q318" s="739"/>
    </row>
    <row r="319" spans="1:17" ht="16.5" customHeight="1">
      <c r="A319" s="713">
        <f t="shared" si="29"/>
        <v>155</v>
      </c>
      <c r="B319" s="192" t="s">
        <v>867</v>
      </c>
      <c r="C319" s="728">
        <v>41999</v>
      </c>
      <c r="D319" s="728" t="s">
        <v>868</v>
      </c>
      <c r="E319" s="910">
        <v>37.5</v>
      </c>
      <c r="F319" s="911">
        <v>22.8</v>
      </c>
      <c r="G319" s="911">
        <v>27</v>
      </c>
      <c r="H319" s="832">
        <f t="shared" si="30"/>
        <v>0.66</v>
      </c>
      <c r="I319" s="256">
        <v>602</v>
      </c>
      <c r="J319" s="714">
        <f t="shared" si="31"/>
        <v>397.32</v>
      </c>
      <c r="K319" s="714">
        <f t="shared" si="32"/>
        <v>5428.8384435237913</v>
      </c>
      <c r="L319" s="629"/>
      <c r="M319" s="444"/>
      <c r="N319" s="737"/>
      <c r="O319" s="770"/>
      <c r="P319" s="727"/>
      <c r="Q319" s="739"/>
    </row>
    <row r="320" spans="1:17" ht="16.5" customHeight="1">
      <c r="A320" s="713">
        <f t="shared" si="29"/>
        <v>156</v>
      </c>
      <c r="B320" s="192" t="s">
        <v>869</v>
      </c>
      <c r="C320" s="728">
        <v>41999</v>
      </c>
      <c r="D320" s="728" t="s">
        <v>868</v>
      </c>
      <c r="E320" s="910">
        <v>36.5</v>
      </c>
      <c r="F320" s="911">
        <v>24</v>
      </c>
      <c r="G320" s="911">
        <v>19</v>
      </c>
      <c r="H320" s="832">
        <f t="shared" si="30"/>
        <v>0.57999999999999996</v>
      </c>
      <c r="I320" s="256">
        <v>413</v>
      </c>
      <c r="J320" s="714">
        <f t="shared" si="31"/>
        <v>239.54</v>
      </c>
      <c r="K320" s="714">
        <f t="shared" si="32"/>
        <v>4770.7974200663621</v>
      </c>
      <c r="L320" s="629"/>
      <c r="M320" s="444"/>
      <c r="N320" s="737"/>
      <c r="O320" s="770"/>
      <c r="P320" s="727"/>
      <c r="Q320" s="739"/>
    </row>
    <row r="321" spans="1:17" ht="16.5" customHeight="1">
      <c r="A321" s="713">
        <f t="shared" si="29"/>
        <v>157</v>
      </c>
      <c r="B321" s="192" t="s">
        <v>671</v>
      </c>
      <c r="C321" s="728">
        <v>42000</v>
      </c>
      <c r="D321" s="728" t="s">
        <v>870</v>
      </c>
      <c r="E321" s="910">
        <v>43</v>
      </c>
      <c r="F321" s="911">
        <v>31</v>
      </c>
      <c r="G321" s="911">
        <v>25</v>
      </c>
      <c r="H321" s="832">
        <f t="shared" si="30"/>
        <v>0.9</v>
      </c>
      <c r="I321" s="256">
        <v>1528</v>
      </c>
      <c r="J321" s="714">
        <f t="shared" si="31"/>
        <v>1375.2</v>
      </c>
      <c r="K321" s="714">
        <f t="shared" si="32"/>
        <v>7402.9615138960789</v>
      </c>
      <c r="L321" s="629"/>
      <c r="M321" s="444"/>
      <c r="N321" s="737"/>
      <c r="O321" s="770"/>
      <c r="P321" s="727"/>
      <c r="Q321" s="739"/>
    </row>
    <row r="322" spans="1:17" ht="16.5" customHeight="1">
      <c r="A322" s="713">
        <f t="shared" si="29"/>
        <v>158</v>
      </c>
      <c r="B322" s="192" t="s">
        <v>516</v>
      </c>
      <c r="C322" s="728">
        <v>42000</v>
      </c>
      <c r="D322" s="728" t="s">
        <v>871</v>
      </c>
      <c r="E322" s="910">
        <v>59</v>
      </c>
      <c r="F322" s="911">
        <v>38</v>
      </c>
      <c r="G322" s="911">
        <v>17</v>
      </c>
      <c r="H322" s="832">
        <f t="shared" si="30"/>
        <v>1.1499999999999999</v>
      </c>
      <c r="I322" s="256">
        <v>1010</v>
      </c>
      <c r="J322" s="714">
        <f t="shared" si="31"/>
        <v>1161.5</v>
      </c>
      <c r="K322" s="714">
        <f t="shared" si="32"/>
        <v>9459.3397122005445</v>
      </c>
      <c r="L322" s="629"/>
      <c r="M322" s="444"/>
      <c r="N322" s="737"/>
      <c r="O322" s="770"/>
      <c r="P322" s="727"/>
      <c r="Q322" s="739"/>
    </row>
    <row r="323" spans="1:17" ht="16.5" customHeight="1">
      <c r="A323" s="713">
        <f t="shared" si="29"/>
        <v>159</v>
      </c>
      <c r="B323" s="192" t="s">
        <v>872</v>
      </c>
      <c r="C323" s="728">
        <v>42003</v>
      </c>
      <c r="D323" s="728" t="s">
        <v>873</v>
      </c>
      <c r="E323" s="910">
        <v>39.5</v>
      </c>
      <c r="F323" s="911">
        <v>32.299999999999997</v>
      </c>
      <c r="G323" s="911">
        <v>27.7</v>
      </c>
      <c r="H323" s="832">
        <f t="shared" si="30"/>
        <v>0.94</v>
      </c>
      <c r="I323" s="256">
        <v>310</v>
      </c>
      <c r="J323" s="714">
        <f t="shared" si="31"/>
        <v>291.39999999999998</v>
      </c>
      <c r="K323" s="714">
        <f t="shared" si="32"/>
        <v>7731.9820256247931</v>
      </c>
      <c r="L323" s="629"/>
      <c r="M323" s="444"/>
      <c r="N323" s="737"/>
      <c r="O323" s="770"/>
      <c r="P323" s="727"/>
      <c r="Q323" s="739"/>
    </row>
    <row r="324" spans="1:17" ht="16.5" customHeight="1">
      <c r="A324" s="713">
        <f t="shared" si="29"/>
        <v>160</v>
      </c>
      <c r="B324" s="192" t="s">
        <v>874</v>
      </c>
      <c r="C324" s="728">
        <v>42003</v>
      </c>
      <c r="D324" s="728" t="s">
        <v>873</v>
      </c>
      <c r="E324" s="910">
        <v>35</v>
      </c>
      <c r="F324" s="911">
        <v>35</v>
      </c>
      <c r="G324" s="911">
        <v>29</v>
      </c>
      <c r="H324" s="832">
        <f t="shared" si="30"/>
        <v>0.97</v>
      </c>
      <c r="I324" s="256">
        <v>219</v>
      </c>
      <c r="J324" s="714">
        <f t="shared" si="31"/>
        <v>212.43</v>
      </c>
      <c r="K324" s="714">
        <f t="shared" si="32"/>
        <v>7978.7474094213294</v>
      </c>
      <c r="L324" s="629"/>
      <c r="M324" s="444"/>
      <c r="N324" s="737"/>
      <c r="O324" s="770"/>
      <c r="P324" s="727"/>
      <c r="Q324" s="739"/>
    </row>
    <row r="325" spans="1:17" ht="16.5" customHeight="1">
      <c r="A325" s="713">
        <f t="shared" si="29"/>
        <v>161</v>
      </c>
      <c r="B325" s="192" t="s">
        <v>875</v>
      </c>
      <c r="C325" s="728">
        <v>42003</v>
      </c>
      <c r="D325" s="728" t="s">
        <v>876</v>
      </c>
      <c r="E325" s="910">
        <v>84</v>
      </c>
      <c r="F325" s="911">
        <v>58</v>
      </c>
      <c r="G325" s="911">
        <v>30</v>
      </c>
      <c r="H325" s="832">
        <f t="shared" si="30"/>
        <v>2.63</v>
      </c>
      <c r="I325" s="256">
        <v>30</v>
      </c>
      <c r="J325" s="714">
        <f t="shared" si="31"/>
        <v>78.899999999999991</v>
      </c>
      <c r="K325" s="714">
        <f t="shared" si="32"/>
        <v>21633.098646162987</v>
      </c>
      <c r="L325" s="629"/>
      <c r="M325" s="444"/>
      <c r="N325" s="737"/>
      <c r="O325" s="770"/>
      <c r="P325" s="727"/>
      <c r="Q325" s="739"/>
    </row>
    <row r="326" spans="1:17" ht="16.5" customHeight="1">
      <c r="A326" s="713">
        <f t="shared" si="29"/>
        <v>162</v>
      </c>
      <c r="B326" s="192" t="s">
        <v>747</v>
      </c>
      <c r="C326" s="728">
        <v>42003</v>
      </c>
      <c r="D326" s="728" t="s">
        <v>876</v>
      </c>
      <c r="E326" s="910">
        <v>60</v>
      </c>
      <c r="F326" s="911">
        <v>25</v>
      </c>
      <c r="G326" s="911"/>
      <c r="H326" s="832">
        <f t="shared" si="30"/>
        <v>0.15</v>
      </c>
      <c r="I326" s="256">
        <v>60</v>
      </c>
      <c r="J326" s="714">
        <f t="shared" si="31"/>
        <v>9</v>
      </c>
      <c r="K326" s="714">
        <f t="shared" si="32"/>
        <v>1233.8269189826799</v>
      </c>
      <c r="L326" s="629"/>
      <c r="M326" s="444"/>
      <c r="N326" s="737"/>
      <c r="O326" s="770"/>
      <c r="P326" s="727"/>
      <c r="Q326" s="739"/>
    </row>
    <row r="327" spans="1:17" ht="16.5" customHeight="1">
      <c r="A327" s="713">
        <f t="shared" si="29"/>
        <v>163</v>
      </c>
      <c r="B327" s="192" t="s">
        <v>555</v>
      </c>
      <c r="C327" s="728">
        <v>42003</v>
      </c>
      <c r="D327" s="728" t="s">
        <v>877</v>
      </c>
      <c r="E327" s="910">
        <v>63.5</v>
      </c>
      <c r="F327" s="911">
        <v>63.5</v>
      </c>
      <c r="G327" s="911">
        <v>30.5</v>
      </c>
      <c r="H327" s="832">
        <f t="shared" si="30"/>
        <v>2.5099999999999998</v>
      </c>
      <c r="I327" s="256">
        <v>650</v>
      </c>
      <c r="J327" s="714">
        <f t="shared" si="31"/>
        <v>1631.4999999999998</v>
      </c>
      <c r="K327" s="714">
        <f t="shared" si="32"/>
        <v>20646.037110976842</v>
      </c>
      <c r="L327" s="629"/>
      <c r="M327" s="444"/>
      <c r="N327" s="737"/>
      <c r="O327" s="770"/>
      <c r="P327" s="727"/>
      <c r="Q327" s="739"/>
    </row>
    <row r="328" spans="1:17" ht="16.5" customHeight="1">
      <c r="A328" s="713">
        <f t="shared" si="29"/>
        <v>164</v>
      </c>
      <c r="B328" s="192" t="s">
        <v>513</v>
      </c>
      <c r="C328" s="728">
        <v>42004</v>
      </c>
      <c r="D328" s="728" t="s">
        <v>879</v>
      </c>
      <c r="E328" s="910">
        <v>32.5</v>
      </c>
      <c r="F328" s="911">
        <v>32.5</v>
      </c>
      <c r="G328" s="911">
        <v>16</v>
      </c>
      <c r="H328" s="832">
        <f t="shared" si="30"/>
        <v>0.7</v>
      </c>
      <c r="I328" s="256">
        <v>307</v>
      </c>
      <c r="J328" s="714">
        <f t="shared" si="31"/>
        <v>214.89999999999998</v>
      </c>
      <c r="K328" s="714">
        <f t="shared" si="32"/>
        <v>5757.8589552525054</v>
      </c>
      <c r="L328" s="629"/>
      <c r="M328" s="444"/>
      <c r="N328" s="737"/>
      <c r="O328" s="770"/>
      <c r="P328" s="727"/>
      <c r="Q328" s="739"/>
    </row>
    <row r="329" spans="1:17" ht="16.5" customHeight="1">
      <c r="A329" s="713">
        <f t="shared" si="29"/>
        <v>165</v>
      </c>
      <c r="B329" s="192" t="s">
        <v>487</v>
      </c>
      <c r="C329" s="728">
        <v>42004</v>
      </c>
      <c r="D329" s="728" t="s">
        <v>879</v>
      </c>
      <c r="E329" s="910">
        <v>41</v>
      </c>
      <c r="F329" s="911">
        <v>31</v>
      </c>
      <c r="G329" s="911">
        <v>25.5</v>
      </c>
      <c r="H329" s="832">
        <f t="shared" si="30"/>
        <v>0.89</v>
      </c>
      <c r="I329" s="256">
        <v>200</v>
      </c>
      <c r="J329" s="714">
        <f t="shared" si="31"/>
        <v>178</v>
      </c>
      <c r="K329" s="714">
        <f t="shared" si="32"/>
        <v>7320.7063859639002</v>
      </c>
      <c r="L329" s="629"/>
      <c r="M329" s="444"/>
      <c r="N329" s="737"/>
      <c r="O329" s="770"/>
      <c r="P329" s="727"/>
      <c r="Q329" s="739"/>
    </row>
    <row r="330" spans="1:17" ht="16.5" customHeight="1">
      <c r="A330" s="713">
        <f t="shared" si="29"/>
        <v>166</v>
      </c>
      <c r="B330" s="192" t="s">
        <v>776</v>
      </c>
      <c r="C330" s="728">
        <v>42004</v>
      </c>
      <c r="D330" s="728" t="s">
        <v>880</v>
      </c>
      <c r="E330" s="910">
        <v>48.5</v>
      </c>
      <c r="F330" s="911">
        <v>23</v>
      </c>
      <c r="G330" s="911">
        <v>35</v>
      </c>
      <c r="H330" s="832">
        <f t="shared" si="30"/>
        <v>0.9</v>
      </c>
      <c r="I330" s="256">
        <v>2500</v>
      </c>
      <c r="J330" s="714">
        <f t="shared" si="31"/>
        <v>2250</v>
      </c>
      <c r="K330" s="714">
        <f t="shared" si="32"/>
        <v>7402.9615138960789</v>
      </c>
      <c r="L330" s="629"/>
      <c r="M330" s="444"/>
      <c r="N330" s="737"/>
      <c r="O330" s="770"/>
      <c r="P330" s="727"/>
      <c r="Q330" s="739"/>
    </row>
    <row r="331" spans="1:17" ht="16.5" customHeight="1">
      <c r="A331" s="713">
        <f t="shared" si="29"/>
        <v>167</v>
      </c>
      <c r="B331" s="192" t="s">
        <v>881</v>
      </c>
      <c r="C331" s="728">
        <v>42004</v>
      </c>
      <c r="D331" s="728" t="s">
        <v>882</v>
      </c>
      <c r="E331" s="910">
        <v>31</v>
      </c>
      <c r="F331" s="911">
        <v>23.5</v>
      </c>
      <c r="G331" s="911">
        <v>10</v>
      </c>
      <c r="H331" s="832">
        <f t="shared" si="30"/>
        <v>0.42</v>
      </c>
      <c r="I331" s="256">
        <v>2050</v>
      </c>
      <c r="J331" s="714">
        <f t="shared" si="31"/>
        <v>861</v>
      </c>
      <c r="K331" s="714">
        <f t="shared" si="32"/>
        <v>3454.7153731515036</v>
      </c>
      <c r="L331" s="629"/>
      <c r="M331" s="444"/>
      <c r="N331" s="737"/>
      <c r="O331" s="770"/>
      <c r="P331" s="727"/>
      <c r="Q331" s="739"/>
    </row>
    <row r="332" spans="1:17" ht="16.5" customHeight="1">
      <c r="A332" s="713">
        <f t="shared" si="29"/>
        <v>168</v>
      </c>
      <c r="B332" s="192" t="s">
        <v>883</v>
      </c>
      <c r="C332" s="728">
        <v>42004</v>
      </c>
      <c r="D332" s="728" t="s">
        <v>882</v>
      </c>
      <c r="E332" s="910">
        <v>51</v>
      </c>
      <c r="F332" s="911">
        <v>23.5</v>
      </c>
      <c r="G332" s="911">
        <v>14.5</v>
      </c>
      <c r="H332" s="832">
        <f t="shared" si="30"/>
        <v>0.63</v>
      </c>
      <c r="I332" s="256">
        <v>210</v>
      </c>
      <c r="J332" s="714">
        <f t="shared" si="31"/>
        <v>132.30000000000001</v>
      </c>
      <c r="K332" s="714">
        <f t="shared" si="32"/>
        <v>5182.073059727255</v>
      </c>
      <c r="L332" s="629"/>
      <c r="M332" s="444"/>
      <c r="N332" s="737"/>
      <c r="O332" s="770"/>
      <c r="P332" s="947"/>
      <c r="Q332" s="739"/>
    </row>
    <row r="333" spans="1:17" ht="16.5" customHeight="1">
      <c r="A333" s="713">
        <f t="shared" si="29"/>
        <v>169</v>
      </c>
      <c r="B333" s="192" t="s">
        <v>884</v>
      </c>
      <c r="C333" s="728">
        <v>42004</v>
      </c>
      <c r="D333" s="728" t="s">
        <v>882</v>
      </c>
      <c r="E333" s="910">
        <v>46</v>
      </c>
      <c r="F333" s="911">
        <v>24</v>
      </c>
      <c r="G333" s="911">
        <v>18</v>
      </c>
      <c r="H333" s="832">
        <f t="shared" si="30"/>
        <v>0.65</v>
      </c>
      <c r="I333" s="256">
        <v>130</v>
      </c>
      <c r="J333" s="714">
        <f t="shared" si="31"/>
        <v>84.5</v>
      </c>
      <c r="K333" s="714">
        <f t="shared" si="32"/>
        <v>5346.5833155916125</v>
      </c>
      <c r="L333" s="629"/>
      <c r="M333" s="444"/>
      <c r="N333" s="737"/>
      <c r="O333" s="770"/>
      <c r="P333" s="727"/>
      <c r="Q333" s="739"/>
    </row>
    <row r="334" spans="1:17" ht="16.5" customHeight="1">
      <c r="A334" s="713">
        <f t="shared" si="29"/>
        <v>170</v>
      </c>
      <c r="B334" s="192" t="s">
        <v>885</v>
      </c>
      <c r="C334" s="728">
        <v>42004</v>
      </c>
      <c r="D334" s="728" t="s">
        <v>882</v>
      </c>
      <c r="E334" s="910">
        <v>38</v>
      </c>
      <c r="F334" s="911">
        <v>23.5</v>
      </c>
      <c r="G334" s="911">
        <v>18</v>
      </c>
      <c r="H334" s="832">
        <f t="shared" si="30"/>
        <v>0.56999999999999995</v>
      </c>
      <c r="I334" s="256">
        <v>170</v>
      </c>
      <c r="J334" s="714">
        <f t="shared" si="31"/>
        <v>96.899999999999991</v>
      </c>
      <c r="K334" s="714">
        <f t="shared" si="32"/>
        <v>4688.5422921341833</v>
      </c>
      <c r="L334" s="629"/>
      <c r="M334" s="444"/>
      <c r="N334" s="737"/>
      <c r="O334" s="770"/>
      <c r="P334" s="727"/>
      <c r="Q334" s="739"/>
    </row>
    <row r="335" spans="1:17" ht="16.5" customHeight="1">
      <c r="A335" s="713">
        <f t="shared" si="29"/>
        <v>171</v>
      </c>
      <c r="B335" s="192" t="s">
        <v>886</v>
      </c>
      <c r="C335" s="728">
        <v>42004</v>
      </c>
      <c r="D335" s="728" t="s">
        <v>887</v>
      </c>
      <c r="E335" s="910">
        <v>183</v>
      </c>
      <c r="F335" s="911">
        <v>15</v>
      </c>
      <c r="G335" s="911">
        <v>10</v>
      </c>
      <c r="H335" s="832">
        <f t="shared" si="30"/>
        <v>1.1200000000000001</v>
      </c>
      <c r="I335" s="256">
        <v>200</v>
      </c>
      <c r="J335" s="714">
        <f t="shared" si="31"/>
        <v>224.00000000000003</v>
      </c>
      <c r="K335" s="714">
        <f t="shared" si="32"/>
        <v>9212.5743284040109</v>
      </c>
      <c r="L335" s="629"/>
      <c r="M335" s="444"/>
      <c r="N335" s="737"/>
      <c r="O335" s="770"/>
      <c r="P335" s="727"/>
      <c r="Q335" s="739"/>
    </row>
    <row r="336" spans="1:17" ht="16.5" customHeight="1">
      <c r="A336" s="713">
        <f t="shared" si="29"/>
        <v>172</v>
      </c>
      <c r="B336" s="192" t="s">
        <v>889</v>
      </c>
      <c r="C336" s="728">
        <v>42004</v>
      </c>
      <c r="D336" s="728" t="s">
        <v>887</v>
      </c>
      <c r="E336" s="910">
        <v>143</v>
      </c>
      <c r="F336" s="911">
        <v>49</v>
      </c>
      <c r="G336" s="911">
        <v>51</v>
      </c>
      <c r="H336" s="832">
        <f t="shared" si="30"/>
        <v>4.01</v>
      </c>
      <c r="I336" s="256">
        <v>100</v>
      </c>
      <c r="J336" s="714">
        <f t="shared" si="31"/>
        <v>401</v>
      </c>
      <c r="K336" s="714">
        <f t="shared" si="32"/>
        <v>32984.306300803641</v>
      </c>
      <c r="L336" s="629"/>
      <c r="M336" s="444"/>
      <c r="N336" s="737"/>
      <c r="O336" s="770"/>
      <c r="P336" s="727"/>
      <c r="Q336" s="739"/>
    </row>
    <row r="337" spans="1:17" ht="16.5" customHeight="1">
      <c r="A337" s="713">
        <f t="shared" si="29"/>
        <v>173</v>
      </c>
      <c r="B337" s="192" t="s">
        <v>890</v>
      </c>
      <c r="C337" s="728">
        <v>42004</v>
      </c>
      <c r="D337" s="728" t="s">
        <v>887</v>
      </c>
      <c r="E337" s="910">
        <v>151</v>
      </c>
      <c r="F337" s="911">
        <v>49</v>
      </c>
      <c r="G337" s="911">
        <v>51</v>
      </c>
      <c r="H337" s="832">
        <f t="shared" si="30"/>
        <v>4.17</v>
      </c>
      <c r="I337" s="256">
        <v>100</v>
      </c>
      <c r="J337" s="714">
        <f t="shared" si="31"/>
        <v>417</v>
      </c>
      <c r="K337" s="714">
        <f t="shared" si="32"/>
        <v>34300.388347718501</v>
      </c>
      <c r="L337" s="629"/>
      <c r="M337" s="444"/>
      <c r="N337" s="737"/>
      <c r="O337" s="770"/>
      <c r="P337" s="727"/>
      <c r="Q337" s="739"/>
    </row>
    <row r="338" spans="1:17" ht="16.5" customHeight="1">
      <c r="A338" s="713">
        <f t="shared" si="29"/>
        <v>174</v>
      </c>
      <c r="B338" s="192" t="s">
        <v>891</v>
      </c>
      <c r="C338" s="728">
        <v>42004</v>
      </c>
      <c r="D338" s="728" t="s">
        <v>887</v>
      </c>
      <c r="E338" s="910">
        <v>119</v>
      </c>
      <c r="F338" s="911">
        <v>49</v>
      </c>
      <c r="G338" s="911">
        <v>51</v>
      </c>
      <c r="H338" s="832">
        <f t="shared" si="30"/>
        <v>3.51</v>
      </c>
      <c r="I338" s="256">
        <v>150</v>
      </c>
      <c r="J338" s="714">
        <f t="shared" si="31"/>
        <v>526.5</v>
      </c>
      <c r="K338" s="714">
        <f t="shared" si="32"/>
        <v>28871.549904194708</v>
      </c>
      <c r="L338" s="629"/>
      <c r="M338" s="444"/>
      <c r="N338" s="737"/>
      <c r="O338" s="770"/>
      <c r="P338" s="727"/>
      <c r="Q338" s="739"/>
    </row>
    <row r="339" spans="1:17" ht="16.5" customHeight="1">
      <c r="A339" s="713">
        <f t="shared" si="29"/>
        <v>175</v>
      </c>
      <c r="B339" s="192" t="s">
        <v>892</v>
      </c>
      <c r="C339" s="728">
        <v>42004</v>
      </c>
      <c r="D339" s="728" t="s">
        <v>893</v>
      </c>
      <c r="E339" s="910">
        <v>55.5</v>
      </c>
      <c r="F339" s="911">
        <v>46</v>
      </c>
      <c r="G339" s="911">
        <v>30</v>
      </c>
      <c r="H339" s="832">
        <f t="shared" si="30"/>
        <v>1.64</v>
      </c>
      <c r="I339" s="256">
        <v>1280</v>
      </c>
      <c r="J339" s="714">
        <f t="shared" si="31"/>
        <v>2099.1999999999998</v>
      </c>
      <c r="K339" s="714">
        <f t="shared" si="32"/>
        <v>13489.840980877299</v>
      </c>
      <c r="L339" s="629"/>
      <c r="M339" s="444"/>
      <c r="N339" s="737"/>
      <c r="O339" s="770"/>
      <c r="P339" s="727"/>
      <c r="Q339" s="739"/>
    </row>
    <row r="340" spans="1:17" ht="16.5" customHeight="1">
      <c r="A340" s="713"/>
      <c r="B340" s="296"/>
      <c r="C340" s="729"/>
      <c r="D340" s="728"/>
      <c r="E340" s="25"/>
      <c r="F340" s="714"/>
      <c r="G340" s="714"/>
      <c r="H340" s="714"/>
      <c r="I340" s="714"/>
      <c r="J340" s="714"/>
      <c r="K340" s="714"/>
      <c r="L340" s="629"/>
      <c r="M340" s="444"/>
      <c r="N340" s="737"/>
      <c r="O340" s="770"/>
      <c r="P340" s="727"/>
      <c r="Q340" s="739"/>
    </row>
    <row r="341" spans="1:17" s="733" customFormat="1" ht="16.5" customHeight="1">
      <c r="A341" s="715"/>
      <c r="B341" s="716" t="s">
        <v>251</v>
      </c>
      <c r="C341" s="736"/>
      <c r="D341" s="828"/>
      <c r="E341" s="516"/>
      <c r="F341" s="516"/>
      <c r="G341" s="516"/>
      <c r="H341" s="836">
        <f>ROUND(SUM(H165:H340),2)</f>
        <v>194.97</v>
      </c>
      <c r="I341" s="516">
        <f>ROUND(SUM(I165:I340),2)</f>
        <v>114931</v>
      </c>
      <c r="J341" s="516">
        <f>ROUND(SUM(J165:J340),2)</f>
        <v>95678.43</v>
      </c>
      <c r="K341" s="516"/>
      <c r="L341" s="629"/>
      <c r="M341" s="444"/>
      <c r="N341" s="737"/>
      <c r="O341" s="770"/>
      <c r="P341" s="727"/>
      <c r="Q341" s="739"/>
    </row>
    <row r="342" spans="1:17" s="710" customFormat="1">
      <c r="A342" s="709"/>
      <c r="B342" s="709"/>
      <c r="C342" s="723"/>
      <c r="D342" s="824"/>
      <c r="E342" s="709"/>
      <c r="F342" s="709"/>
      <c r="G342" s="709"/>
      <c r="H342" s="709"/>
      <c r="I342" s="709"/>
      <c r="J342" s="709"/>
      <c r="K342" s="709"/>
      <c r="L342" s="629"/>
      <c r="M342" s="444"/>
      <c r="N342" s="737"/>
      <c r="O342" s="770"/>
      <c r="P342" s="727"/>
      <c r="Q342" s="739"/>
    </row>
    <row r="343" spans="1:17">
      <c r="L343" s="629"/>
      <c r="M343" s="444"/>
      <c r="N343" s="737"/>
      <c r="O343" s="770"/>
      <c r="P343" s="727"/>
      <c r="Q343" s="739"/>
    </row>
    <row r="344" spans="1:17">
      <c r="L344" s="629"/>
      <c r="M344" s="444"/>
      <c r="N344" s="737"/>
      <c r="O344" s="770"/>
      <c r="P344" s="727"/>
      <c r="Q344" s="739"/>
    </row>
    <row r="345" spans="1:17">
      <c r="L345" s="629"/>
      <c r="M345" s="444"/>
      <c r="N345" s="737"/>
      <c r="O345" s="770"/>
      <c r="P345" s="727"/>
      <c r="Q345" s="739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44"/>
      <c r="N346" s="737"/>
      <c r="O346" s="770"/>
      <c r="P346" s="727"/>
      <c r="Q346" s="739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44"/>
      <c r="N347" s="737"/>
      <c r="O347" s="770"/>
      <c r="P347" s="727"/>
      <c r="Q347" s="739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5:P35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7" t="str">
        <f>TH!A1</f>
        <v>Đơn vị: CÔNG TY TNHH SX TM KIM DUNG PHÁT</v>
      </c>
      <c r="L1" s="1136" t="s">
        <v>272</v>
      </c>
      <c r="M1" s="1136"/>
      <c r="N1" s="1136"/>
      <c r="O1" s="1136"/>
    </row>
    <row r="2" spans="1:18" ht="15" customHeight="1">
      <c r="A2" s="476" t="str">
        <f>TH!A2</f>
        <v>Địa chỉ: 1A227/1 Ấp 1, Phạm Văn Hai, Bình Chánh, TPHCM</v>
      </c>
      <c r="L2" s="113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5"/>
      <c r="N2" s="1135"/>
      <c r="O2" s="1135"/>
    </row>
    <row r="3" spans="1:18" ht="15" customHeight="1">
      <c r="L3" s="1135"/>
      <c r="M3" s="1135"/>
      <c r="N3" s="1135"/>
      <c r="O3" s="1135"/>
    </row>
    <row r="5" spans="1:18" s="482" customFormat="1" ht="24" customHeight="1">
      <c r="A5" s="1137" t="s">
        <v>273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543"/>
    </row>
    <row r="6" spans="1:18" s="482" customFormat="1" ht="21" customHeight="1">
      <c r="A6" s="1138" t="s">
        <v>1324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  <c r="M6" s="1138"/>
      <c r="N6" s="1138"/>
      <c r="O6" s="1138"/>
      <c r="P6" s="543"/>
    </row>
    <row r="7" spans="1:18" s="482" customFormat="1" ht="21" customHeight="1">
      <c r="A7" s="1139" t="s">
        <v>315</v>
      </c>
      <c r="B7" s="1139"/>
      <c r="C7" s="1139"/>
      <c r="D7" s="1139"/>
      <c r="E7" s="1139"/>
      <c r="F7" s="1139"/>
      <c r="G7" s="1139"/>
      <c r="H7" s="1139"/>
      <c r="I7" s="1139"/>
      <c r="J7" s="1139"/>
      <c r="K7" s="1139"/>
      <c r="L7" s="1139"/>
      <c r="M7" s="1139"/>
      <c r="N7" s="1139"/>
      <c r="O7" s="1139"/>
      <c r="P7" s="543"/>
    </row>
    <row r="8" spans="1:18">
      <c r="D8" s="478"/>
    </row>
    <row r="9" spans="1:18" s="483" customFormat="1" ht="24" customHeight="1">
      <c r="A9" s="1140" t="s">
        <v>235</v>
      </c>
      <c r="B9" s="1143" t="s">
        <v>274</v>
      </c>
      <c r="C9" s="1144"/>
      <c r="D9" s="1144"/>
      <c r="E9" s="1144"/>
      <c r="F9" s="1144"/>
      <c r="G9" s="1144"/>
      <c r="H9" s="1145"/>
      <c r="I9" s="1143" t="s">
        <v>275</v>
      </c>
      <c r="J9" s="1144"/>
      <c r="K9" s="1144"/>
      <c r="L9" s="1145"/>
      <c r="M9" s="1146" t="s">
        <v>276</v>
      </c>
      <c r="N9" s="1146"/>
      <c r="O9" s="1146"/>
      <c r="P9" s="544"/>
    </row>
    <row r="10" spans="1:18" s="483" customFormat="1" ht="24" customHeight="1">
      <c r="A10" s="1141"/>
      <c r="B10" s="1143" t="s">
        <v>277</v>
      </c>
      <c r="C10" s="1145"/>
      <c r="D10" s="1140" t="s">
        <v>278</v>
      </c>
      <c r="E10" s="1140" t="s">
        <v>279</v>
      </c>
      <c r="F10" s="1140" t="s">
        <v>280</v>
      </c>
      <c r="G10" s="1140" t="s">
        <v>281</v>
      </c>
      <c r="H10" s="1140" t="s">
        <v>282</v>
      </c>
      <c r="I10" s="1143" t="s">
        <v>283</v>
      </c>
      <c r="J10" s="1145"/>
      <c r="K10" s="1147" t="s">
        <v>284</v>
      </c>
      <c r="L10" s="1140" t="s">
        <v>285</v>
      </c>
      <c r="M10" s="1146" t="s">
        <v>277</v>
      </c>
      <c r="N10" s="1146"/>
      <c r="O10" s="1146" t="s">
        <v>286</v>
      </c>
      <c r="P10" s="544"/>
    </row>
    <row r="11" spans="1:18" s="483" customFormat="1" ht="55.5" customHeight="1">
      <c r="A11" s="1142"/>
      <c r="B11" s="484" t="s">
        <v>287</v>
      </c>
      <c r="C11" s="484" t="s">
        <v>236</v>
      </c>
      <c r="D11" s="1142"/>
      <c r="E11" s="1142"/>
      <c r="F11" s="1142"/>
      <c r="G11" s="1142"/>
      <c r="H11" s="1142"/>
      <c r="I11" s="484" t="s">
        <v>288</v>
      </c>
      <c r="J11" s="484" t="s">
        <v>289</v>
      </c>
      <c r="K11" s="1148"/>
      <c r="L11" s="1142"/>
      <c r="M11" s="484" t="s">
        <v>15</v>
      </c>
      <c r="N11" s="484" t="s">
        <v>236</v>
      </c>
      <c r="O11" s="1146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290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291</v>
      </c>
      <c r="N12" s="485" t="s">
        <v>292</v>
      </c>
      <c r="O12" s="485" t="s">
        <v>293</v>
      </c>
      <c r="P12" s="545"/>
    </row>
    <row r="13" spans="1:18" s="487" customFormat="1" ht="21.75" customHeight="1">
      <c r="A13" s="507" t="s">
        <v>291</v>
      </c>
      <c r="B13" s="509" t="s">
        <v>314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358</v>
      </c>
      <c r="C14" s="488">
        <v>40682</v>
      </c>
      <c r="D14" s="210" t="s">
        <v>354</v>
      </c>
      <c r="E14" s="443" t="s">
        <v>294</v>
      </c>
      <c r="F14" s="517" t="s">
        <v>374</v>
      </c>
      <c r="G14" s="546" t="s">
        <v>360</v>
      </c>
      <c r="H14" s="257">
        <v>18000000</v>
      </c>
      <c r="I14" s="25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359</v>
      </c>
      <c r="C15" s="488">
        <v>40686</v>
      </c>
      <c r="D15" s="210" t="s">
        <v>355</v>
      </c>
      <c r="E15" s="443" t="s">
        <v>294</v>
      </c>
      <c r="F15" s="517" t="s">
        <v>374</v>
      </c>
      <c r="G15" s="546" t="s">
        <v>361</v>
      </c>
      <c r="H15" s="257">
        <v>27000000</v>
      </c>
      <c r="I15" s="257">
        <v>5</v>
      </c>
      <c r="J15" s="8">
        <v>5400000</v>
      </c>
      <c r="K15" s="8">
        <v>13950000</v>
      </c>
      <c r="L15" s="8">
        <f t="shared" si="0"/>
        <v>19350000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327</v>
      </c>
      <c r="C16" s="488">
        <v>40710</v>
      </c>
      <c r="D16" s="210" t="s">
        <v>356</v>
      </c>
      <c r="E16" s="443" t="s">
        <v>294</v>
      </c>
      <c r="F16" s="517" t="s">
        <v>375</v>
      </c>
      <c r="G16" s="546" t="s">
        <v>362</v>
      </c>
      <c r="H16" s="257">
        <v>320000000</v>
      </c>
      <c r="I16" s="257">
        <v>5</v>
      </c>
      <c r="J16" s="8">
        <v>64000000</v>
      </c>
      <c r="K16" s="8">
        <v>160000000</v>
      </c>
      <c r="L16" s="8">
        <f t="shared" si="0"/>
        <v>224000000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508">
        <v>4</v>
      </c>
      <c r="B17" s="517" t="s">
        <v>327</v>
      </c>
      <c r="C17" s="511">
        <v>41756</v>
      </c>
      <c r="D17" s="512" t="s">
        <v>1243</v>
      </c>
      <c r="E17" s="443" t="s">
        <v>294</v>
      </c>
      <c r="F17" s="898" t="s">
        <v>1369</v>
      </c>
      <c r="G17" s="546" t="s">
        <v>1322</v>
      </c>
      <c r="H17" s="515">
        <v>500000000</v>
      </c>
      <c r="I17" s="515">
        <v>20</v>
      </c>
      <c r="J17" s="299">
        <f>6250000*2</f>
        <v>12500000</v>
      </c>
      <c r="K17" s="299"/>
      <c r="L17" s="8">
        <f t="shared" si="0"/>
        <v>12500000</v>
      </c>
      <c r="M17" s="899"/>
      <c r="N17" s="900"/>
      <c r="O17" s="900"/>
      <c r="P17" s="545" t="str">
        <f>IF(D17='THE-TS'!$D$11,"x","")</f>
        <v/>
      </c>
      <c r="Q17" s="293"/>
      <c r="R17" s="293"/>
    </row>
    <row r="18" spans="1:18" ht="21.75" customHeight="1">
      <c r="A18" s="508">
        <v>5</v>
      </c>
      <c r="B18" s="517" t="s">
        <v>327</v>
      </c>
      <c r="C18" s="511">
        <v>41761</v>
      </c>
      <c r="D18" s="512" t="s">
        <v>1244</v>
      </c>
      <c r="E18" s="443" t="s">
        <v>294</v>
      </c>
      <c r="F18" s="898" t="s">
        <v>1369</v>
      </c>
      <c r="G18" s="546" t="s">
        <v>1323</v>
      </c>
      <c r="H18" s="515">
        <v>500000000</v>
      </c>
      <c r="I18" s="515">
        <v>20</v>
      </c>
      <c r="J18" s="299">
        <f>6250000*2</f>
        <v>12500000</v>
      </c>
      <c r="K18" s="299"/>
      <c r="L18" s="8">
        <f t="shared" si="0"/>
        <v>12500000</v>
      </c>
      <c r="M18" s="899"/>
      <c r="N18" s="900"/>
      <c r="O18" s="900"/>
      <c r="P18" s="545" t="str">
        <f>IF(D18='THE-TS'!$D$11,"x","")</f>
        <v/>
      </c>
      <c r="Q18" s="293"/>
      <c r="R18" s="293"/>
    </row>
    <row r="19" spans="1:18" ht="21.75" customHeight="1">
      <c r="A19" s="489"/>
      <c r="B19" s="510"/>
      <c r="C19" s="511"/>
      <c r="D19" s="512"/>
      <c r="E19" s="490"/>
      <c r="F19" s="511"/>
      <c r="G19" s="510"/>
      <c r="H19" s="515"/>
      <c r="I19" s="515"/>
      <c r="J19" s="299"/>
      <c r="K19" s="299"/>
      <c r="L19" s="299"/>
      <c r="M19" s="490"/>
      <c r="N19" s="490"/>
      <c r="O19" s="490"/>
      <c r="P19" s="545" t="str">
        <f>IF(D19='THE-TS'!$D$11,"x","")</f>
        <v/>
      </c>
      <c r="R19" s="505"/>
    </row>
    <row r="20" spans="1:18" s="493" customFormat="1" ht="21.75" customHeight="1">
      <c r="A20" s="491"/>
      <c r="B20" s="492"/>
      <c r="C20" s="491"/>
      <c r="D20" s="491" t="s">
        <v>295</v>
      </c>
      <c r="E20" s="491" t="s">
        <v>19</v>
      </c>
      <c r="F20" s="491" t="s">
        <v>19</v>
      </c>
      <c r="G20" s="491" t="s">
        <v>19</v>
      </c>
      <c r="H20" s="516">
        <f>SUM(H14:H19)</f>
        <v>1365000000</v>
      </c>
      <c r="I20" s="516"/>
      <c r="J20" s="516">
        <f t="shared" ref="J20:L20" si="1">SUM(J14:J19)</f>
        <v>98000000</v>
      </c>
      <c r="K20" s="516">
        <f t="shared" si="1"/>
        <v>183250000</v>
      </c>
      <c r="L20" s="516">
        <f t="shared" si="1"/>
        <v>281250000</v>
      </c>
      <c r="M20" s="550" t="s">
        <v>19</v>
      </c>
      <c r="N20" s="550" t="s">
        <v>19</v>
      </c>
      <c r="O20" s="550" t="s">
        <v>19</v>
      </c>
      <c r="P20" s="545" t="str">
        <f>IF(D20='THE-TS'!$D$11,"x","")</f>
        <v/>
      </c>
    </row>
    <row r="21" spans="1:18" ht="6.75" customHeight="1">
      <c r="A21" s="444"/>
      <c r="B21" s="444"/>
      <c r="C21" s="494"/>
      <c r="D21" s="444"/>
      <c r="E21" s="494"/>
      <c r="F21" s="494"/>
      <c r="G21" s="494"/>
      <c r="H21" s="444"/>
      <c r="I21" s="444"/>
      <c r="J21" s="444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A22" s="444"/>
      <c r="B22" s="444"/>
      <c r="C22" s="494"/>
      <c r="D22" s="444" t="s">
        <v>296</v>
      </c>
      <c r="E22" s="444"/>
      <c r="F22" s="494"/>
      <c r="G22" s="444"/>
      <c r="H22" s="479"/>
      <c r="I22" s="479"/>
      <c r="J22" s="551"/>
      <c r="L22" s="479"/>
      <c r="M22" s="444"/>
      <c r="N22" s="444"/>
      <c r="O22" s="444"/>
      <c r="P22" s="545" t="str">
        <f>IF(D22='THE-TS'!$D$11,"x","")</f>
        <v/>
      </c>
    </row>
    <row r="23" spans="1:18" ht="13.5" customHeight="1">
      <c r="A23" s="444"/>
      <c r="B23" s="444"/>
      <c r="C23" s="494"/>
      <c r="D23" s="444" t="s">
        <v>1325</v>
      </c>
      <c r="E23" s="444"/>
      <c r="F23" s="494"/>
      <c r="G23" s="444"/>
      <c r="H23" s="505"/>
      <c r="I23" s="444"/>
      <c r="J23" s="513"/>
      <c r="K23" s="495"/>
      <c r="L23" s="444"/>
      <c r="M23" s="444"/>
      <c r="N23" s="444"/>
      <c r="O23" s="444"/>
      <c r="P23" s="545" t="str">
        <f>IF(D23='THE-TS'!$D$11,"x","")</f>
        <v/>
      </c>
    </row>
    <row r="24" spans="1:18" ht="13.5" customHeight="1">
      <c r="K24" s="496"/>
      <c r="L24" s="481" t="s">
        <v>1326</v>
      </c>
      <c r="P24" s="545" t="str">
        <f>IF(D24='THE-TS'!$D$11,"x","")</f>
        <v/>
      </c>
    </row>
    <row r="25" spans="1:18" ht="13.5" customHeight="1">
      <c r="B25" s="478"/>
      <c r="D25" s="478" t="s">
        <v>11</v>
      </c>
      <c r="F25" s="478" t="s">
        <v>297</v>
      </c>
      <c r="I25" s="497"/>
      <c r="J25" s="566"/>
      <c r="K25" s="494"/>
      <c r="L25" s="494" t="s">
        <v>109</v>
      </c>
      <c r="P25" s="545" t="str">
        <f>IF(D25='THE-TS'!$D$11,"x","")</f>
        <v/>
      </c>
    </row>
    <row r="26" spans="1:18" ht="13.5" customHeight="1">
      <c r="B26" s="478"/>
      <c r="D26" s="478"/>
      <c r="P26" s="545" t="str">
        <f>IF(D26='THE-TS'!$D$11,"x","")</f>
        <v/>
      </c>
    </row>
    <row r="27" spans="1:18" ht="13.5" customHeight="1">
      <c r="H27" s="498"/>
      <c r="J27" s="498"/>
      <c r="L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J29" s="498"/>
      <c r="P29" s="545" t="str">
        <f>IF(D29='THE-TS'!$D$11,"x","")</f>
        <v/>
      </c>
    </row>
    <row r="30" spans="1:18" ht="13.5" customHeight="1">
      <c r="H30" s="499"/>
      <c r="P30" s="545" t="str">
        <f>IF(D30='THE-TS'!$D$11,"x","")</f>
        <v/>
      </c>
    </row>
    <row r="31" spans="1:18" ht="13.5" customHeight="1">
      <c r="H31" s="499"/>
      <c r="P31" s="545" t="str">
        <f>IF(D31='THE-TS'!$D$11,"x","")</f>
        <v/>
      </c>
    </row>
    <row r="32" spans="1:18" s="500" customFormat="1" ht="13.5" customHeight="1">
      <c r="C32" s="501"/>
      <c r="D32" s="501"/>
      <c r="F32" s="501"/>
      <c r="H32" s="502"/>
      <c r="K32" s="503"/>
      <c r="P32" s="545"/>
    </row>
    <row r="33" spans="8:16" ht="13.5">
      <c r="P33" s="545" t="str">
        <f>IF(D33='THE-TS'!$D$11,"x","")</f>
        <v/>
      </c>
    </row>
    <row r="34" spans="8:16" ht="13.5" customHeight="1">
      <c r="H34" s="499"/>
      <c r="P34" s="545" t="str">
        <f>IF(D34='THE-TS'!$D$11,"x","")</f>
        <v/>
      </c>
    </row>
    <row r="35" spans="8:16" ht="13.5">
      <c r="P35" s="54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8" t="str">
        <f>TH!A1</f>
        <v>Đơn vị: CÔNG TY TNHH SX TM KIM DUNG PHÁT</v>
      </c>
      <c r="B2" s="519"/>
      <c r="C2" s="519"/>
      <c r="D2" s="519"/>
      <c r="E2" s="480"/>
      <c r="F2" s="1136" t="s">
        <v>298</v>
      </c>
      <c r="G2" s="1136"/>
      <c r="H2" s="1136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13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35"/>
      <c r="H3" s="1135"/>
    </row>
    <row r="4" spans="1:11">
      <c r="A4" s="478"/>
      <c r="B4" s="478"/>
      <c r="C4" s="481"/>
      <c r="D4" s="481"/>
      <c r="E4" s="481"/>
      <c r="F4" s="1135"/>
      <c r="G4" s="1135"/>
      <c r="H4" s="1135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65" t="s">
        <v>299</v>
      </c>
      <c r="B6" s="1165"/>
      <c r="C6" s="1165"/>
      <c r="D6" s="1165"/>
      <c r="E6" s="1165"/>
      <c r="F6" s="1165"/>
      <c r="G6" s="1165"/>
      <c r="H6" s="1165"/>
    </row>
    <row r="7" spans="1:11" ht="17.25" customHeight="1" thickBot="1">
      <c r="A7" s="1164" t="str">
        <f ca="1" xml:space="preserve"> IF(ROWS($1:1)&gt;COUNT(Dong3),"","Số: "&amp;OFFSET('SO-TS'!$G$1,SMALL(Dong3,ROWS($1:1)),))</f>
        <v>Số: SX01/11</v>
      </c>
      <c r="B7" s="1164"/>
      <c r="C7" s="1164"/>
      <c r="D7" s="1164"/>
      <c r="E7" s="1164"/>
      <c r="F7" s="1164"/>
      <c r="G7" s="1164"/>
      <c r="H7" s="1164"/>
      <c r="J7" s="537" t="s">
        <v>316</v>
      </c>
      <c r="K7" s="538" t="s">
        <v>322</v>
      </c>
    </row>
    <row r="8" spans="1:11" ht="17.25" customHeight="1">
      <c r="A8" s="116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6"/>
      <c r="C8" s="1166"/>
      <c r="D8" s="1166"/>
      <c r="E8" s="1166"/>
      <c r="F8" s="1166"/>
      <c r="G8" s="1166"/>
      <c r="H8" s="1166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317</v>
      </c>
      <c r="B11" s="477"/>
      <c r="C11" s="477"/>
      <c r="D11" s="477" t="s">
        <v>354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300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320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51" t="s">
        <v>125</v>
      </c>
      <c r="B17" s="1152"/>
      <c r="C17" s="1155" t="s">
        <v>301</v>
      </c>
      <c r="D17" s="1156"/>
      <c r="E17" s="1157"/>
      <c r="F17" s="1158" t="s">
        <v>302</v>
      </c>
      <c r="G17" s="1159"/>
      <c r="H17" s="1160"/>
    </row>
    <row r="18" spans="1:8" s="533" customFormat="1" ht="28.5" customHeight="1">
      <c r="A18" s="1153"/>
      <c r="B18" s="1154"/>
      <c r="C18" s="506" t="s">
        <v>303</v>
      </c>
      <c r="D18" s="506" t="s">
        <v>0</v>
      </c>
      <c r="E18" s="506" t="s">
        <v>304</v>
      </c>
      <c r="F18" s="506" t="s">
        <v>305</v>
      </c>
      <c r="G18" s="506" t="s">
        <v>306</v>
      </c>
      <c r="H18" s="506" t="s">
        <v>307</v>
      </c>
    </row>
    <row r="19" spans="1:8" s="535" customFormat="1">
      <c r="A19" s="1161" t="s">
        <v>2</v>
      </c>
      <c r="B19" s="1161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756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6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901" t="str">
        <f ca="1" xml:space="preserve"> IF(ROWS($1:2)&gt;COUNT(Dong3),"",OFFSET('SO-TS'!G$1,SMALL(Dong3,ROWS($1:2)),))</f>
        <v/>
      </c>
      <c r="C21" s="901" t="str">
        <f ca="1" xml:space="preserve"> IF(ROWS($1:2)&gt;COUNT(Dong3),"",OFFSET('SO-TS'!F$1,SMALL(Dong3,ROWS($1:2)),))</f>
        <v/>
      </c>
      <c r="D21" s="902" t="str">
        <f ca="1" xml:space="preserve"> IF(ROWS($1:2)&gt;COUNT(Dong3),"",OFFSET('SO-TS'!D$1,SMALL(Dong3,ROWS($1:2)),))</f>
        <v/>
      </c>
      <c r="E21" s="258" t="str">
        <f ca="1" xml:space="preserve"> IF(ROWS($1:2)&gt;COUNT(Dong3),"",OFFSET('SO-TS'!H$1,SMALL(Dong3,ROWS($1:2)),))</f>
        <v/>
      </c>
      <c r="F21" s="903">
        <f ca="1">IF(OR(F20="",(ROW()-19)&gt;OFFSET('SO-TS'!I$1,SMALL(Dong3,ROWS($1:$1)),)+1),"",IF(VALUE(F20)&gt;VALUE(YEAR(NOW())),"",F20+1))</f>
        <v>2012</v>
      </c>
      <c r="G21" s="756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54">
        <f ca="1">IF(G21&lt;&gt;0,H20+G21,0)</f>
        <v>5700000</v>
      </c>
    </row>
    <row r="22" spans="1:8" ht="17.25" customHeight="1">
      <c r="A22" s="6" t="str">
        <f t="shared" ca="1" si="0"/>
        <v/>
      </c>
      <c r="B22" s="901" t="str">
        <f ca="1" xml:space="preserve"> IF(ROWS($1:3)&gt;COUNT(Dong3),"",OFFSET('SO-TS'!G$1,SMALL(Dong3,ROWS($1:3)),))</f>
        <v/>
      </c>
      <c r="C22" s="901" t="str">
        <f ca="1" xml:space="preserve"> IF(ROWS($1:3)&gt;COUNT(Dong3),"",OFFSET('SO-TS'!F$1,SMALL(Dong3,ROWS($1:3)),))</f>
        <v/>
      </c>
      <c r="D22" s="902" t="str">
        <f ca="1" xml:space="preserve"> IF(ROWS($1:3)&gt;COUNT(Dong3),"",OFFSET('SO-TS'!D$1,SMALL(Dong3,ROWS($1:3)),))</f>
        <v/>
      </c>
      <c r="E22" s="258" t="str">
        <f ca="1" xml:space="preserve"> IF(ROWS($1:3)&gt;COUNT(Dong3),"",OFFSET('SO-TS'!H$1,SMALL(Dong3,ROWS($1:3)),))</f>
        <v/>
      </c>
      <c r="F22" s="903">
        <f ca="1">IF(OR(F21="",(ROW()-19)&gt;OFFSET('SO-TS'!I$1,SMALL(Dong3,ROWS($1:$1)),)+1),"",IF(VALUE(F21)&gt;VALUE(YEAR(NOW())),"",F21+1))</f>
        <v>2013</v>
      </c>
      <c r="G22" s="756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54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901" t="str">
        <f ca="1" xml:space="preserve"> IF(ROWS($1:4)&gt;COUNT(Dong3),"",OFFSET('SO-TS'!G$1,SMALL(Dong3,ROWS($1:4)),))</f>
        <v/>
      </c>
      <c r="C23" s="901" t="str">
        <f ca="1" xml:space="preserve"> IF(ROWS($1:4)&gt;COUNT(Dong3),"",OFFSET('SO-TS'!F$1,SMALL(Dong3,ROWS($1:4)),))</f>
        <v/>
      </c>
      <c r="D23" s="902" t="str">
        <f ca="1" xml:space="preserve"> IF(ROWS($1:4)&gt;COUNT(Dong3),"",OFFSET('SO-TS'!D$1,SMALL(Dong3,ROWS($1:4)),))</f>
        <v/>
      </c>
      <c r="E23" s="258" t="str">
        <f ca="1" xml:space="preserve"> IF(ROWS($1:4)&gt;COUNT(Dong3),"",OFFSET('SO-TS'!H$1,SMALL(Dong3,ROWS($1:4)),))</f>
        <v/>
      </c>
      <c r="F23" s="903">
        <f ca="1">IF(OR(F22="",(ROW()-19)&gt;OFFSET('SO-TS'!I$1,SMALL(Dong3,ROWS($1:$1)),)+1),"",IF(VALUE(F22)&gt;VALUE(YEAR(NOW())),"",F22+1))</f>
        <v>2014</v>
      </c>
      <c r="G23" s="756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54">
        <f t="shared" ca="1" si="1"/>
        <v>12900000</v>
      </c>
    </row>
    <row r="24" spans="1:8" ht="17.25" customHeight="1">
      <c r="A24" s="6" t="str">
        <f t="shared" ca="1" si="0"/>
        <v/>
      </c>
      <c r="B24" s="901" t="str">
        <f ca="1" xml:space="preserve"> IF(ROWS($1:5)&gt;COUNT(Dong3),"",OFFSET('SO-TS'!G$1,SMALL(Dong3,ROWS($1:5)),))</f>
        <v/>
      </c>
      <c r="C24" s="901" t="str">
        <f ca="1" xml:space="preserve"> IF(ROWS($1:5)&gt;COUNT(Dong3),"",OFFSET('SO-TS'!F$1,SMALL(Dong3,ROWS($1:5)),))</f>
        <v/>
      </c>
      <c r="D24" s="902" t="str">
        <f ca="1" xml:space="preserve"> IF(ROWS($1:5)&gt;COUNT(Dong3),"",OFFSET('SO-TS'!D$1,SMALL(Dong3,ROWS($1:5)),))</f>
        <v/>
      </c>
      <c r="E24" s="258" t="str">
        <f ca="1" xml:space="preserve"> IF(ROWS($1:5)&gt;COUNT(Dong3),"",OFFSET('SO-TS'!H$1,SMALL(Dong3,ROWS($1:5)),))</f>
        <v/>
      </c>
      <c r="F24" s="903">
        <f ca="1">IF(OR(F23="",(ROW()-19)&gt;OFFSET('SO-TS'!I$1,SMALL(Dong3,ROWS($1:$1)),)+1),"",IF(VALUE(F23)&gt;VALUE(YEAR(NOW())),"",F23+1))</f>
        <v>2015</v>
      </c>
      <c r="G24" s="756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54">
        <f t="shared" ca="1" si="1"/>
        <v>16500000</v>
      </c>
    </row>
    <row r="25" spans="1:8" ht="17.25" customHeight="1">
      <c r="A25" s="904"/>
      <c r="B25" s="906"/>
      <c r="C25" s="906"/>
      <c r="D25" s="907"/>
      <c r="E25" s="908"/>
      <c r="F25" s="903">
        <f ca="1">IF(OR(F24="",(ROW()-19)&gt;OFFSET('SO-TS'!I$1,SMALL(Dong3,ROWS($1:$1)),)+1),"",IF(VALUE(F24)&gt;VALUE(YEAR(NOW())),"",F24+1))</f>
        <v>2016</v>
      </c>
      <c r="G25" s="756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54">
        <f t="shared" ca="1" si="1"/>
        <v>18000000</v>
      </c>
    </row>
    <row r="26" spans="1:8" ht="17.25" customHeight="1">
      <c r="A26" s="904" t="str">
        <f t="shared" ref="A26" si="2">IF(B26&lt;&gt;"",ROW()-19,"")</f>
        <v/>
      </c>
      <c r="B26" s="489"/>
      <c r="C26" s="522"/>
      <c r="D26" s="522"/>
      <c r="E26" s="755"/>
      <c r="F26" s="905"/>
      <c r="G26" s="755"/>
      <c r="H26" s="755"/>
    </row>
    <row r="27" spans="1:8" ht="17.25" customHeight="1">
      <c r="A27" s="491"/>
      <c r="B27" s="491" t="s">
        <v>308</v>
      </c>
      <c r="C27" s="523"/>
      <c r="D27" s="523"/>
      <c r="E27" s="550">
        <f ca="1">SUM(E20:E26)</f>
        <v>18000000</v>
      </c>
      <c r="F27" s="523"/>
      <c r="G27" s="550">
        <f ca="1">SUM(G20:G26)</f>
        <v>18000000</v>
      </c>
      <c r="H27" s="550"/>
    </row>
    <row r="28" spans="1:8" ht="17.25" customHeight="1">
      <c r="A28" s="524"/>
      <c r="B28" s="524"/>
      <c r="C28" s="525"/>
      <c r="D28" s="525"/>
      <c r="E28" s="525"/>
      <c r="F28" s="525"/>
      <c r="G28" s="526"/>
      <c r="H28" s="526"/>
    </row>
    <row r="29" spans="1:8" ht="17.25" customHeight="1">
      <c r="A29" s="524"/>
      <c r="B29" s="524"/>
      <c r="C29" s="525"/>
      <c r="D29" s="525"/>
      <c r="E29" s="525"/>
      <c r="F29" s="525"/>
      <c r="G29" s="526"/>
      <c r="H29" s="526"/>
    </row>
    <row r="30" spans="1:8" ht="17.25" customHeight="1">
      <c r="A30" s="1162" t="s">
        <v>309</v>
      </c>
      <c r="B30" s="1162"/>
      <c r="C30" s="1162"/>
      <c r="D30" s="1162"/>
      <c r="E30" s="1162"/>
      <c r="F30" s="1162"/>
      <c r="G30" s="1162"/>
      <c r="H30" s="1162"/>
    </row>
    <row r="31" spans="1:8" ht="27" customHeight="1">
      <c r="A31" s="491" t="s">
        <v>35</v>
      </c>
      <c r="B31" s="1143" t="s">
        <v>310</v>
      </c>
      <c r="C31" s="1145"/>
      <c r="D31" s="523" t="s">
        <v>196</v>
      </c>
      <c r="E31" s="523" t="s">
        <v>311</v>
      </c>
      <c r="F31" s="523" t="s">
        <v>312</v>
      </c>
      <c r="G31" s="526"/>
      <c r="H31" s="526"/>
    </row>
    <row r="32" spans="1:8" ht="17.25" customHeight="1">
      <c r="A32" s="491" t="s">
        <v>2</v>
      </c>
      <c r="B32" s="491" t="s">
        <v>3</v>
      </c>
      <c r="C32" s="523"/>
      <c r="D32" s="523" t="s">
        <v>4</v>
      </c>
      <c r="E32" s="523">
        <v>1</v>
      </c>
      <c r="F32" s="523">
        <v>2</v>
      </c>
      <c r="G32" s="526"/>
      <c r="H32" s="526"/>
    </row>
    <row r="33" spans="1:8" ht="17.25" customHeight="1">
      <c r="A33" s="527"/>
      <c r="B33" s="527"/>
      <c r="C33" s="528"/>
      <c r="D33" s="528"/>
      <c r="E33" s="528"/>
      <c r="F33" s="528"/>
      <c r="G33" s="526"/>
      <c r="H33" s="526"/>
    </row>
    <row r="34" spans="1:8" ht="17.25" customHeight="1">
      <c r="A34" s="529"/>
      <c r="B34" s="529"/>
      <c r="C34" s="530"/>
      <c r="D34" s="530"/>
      <c r="E34" s="530"/>
      <c r="F34" s="530"/>
      <c r="G34" s="526"/>
      <c r="H34" s="526"/>
    </row>
    <row r="35" spans="1:8" ht="17.25" customHeight="1">
      <c r="A35" s="529"/>
      <c r="B35" s="529"/>
      <c r="C35" s="530"/>
      <c r="D35" s="530"/>
      <c r="E35" s="530"/>
      <c r="F35" s="530"/>
      <c r="G35" s="526"/>
      <c r="H35" s="526"/>
    </row>
    <row r="36" spans="1:8" ht="17.25" customHeight="1">
      <c r="A36" s="529"/>
      <c r="B36" s="529"/>
      <c r="C36" s="530"/>
      <c r="D36" s="530"/>
      <c r="E36" s="530"/>
      <c r="F36" s="530"/>
      <c r="G36" s="526"/>
      <c r="H36" s="526"/>
    </row>
    <row r="37" spans="1:8" ht="17.25" customHeight="1">
      <c r="A37" s="531"/>
      <c r="B37" s="531"/>
      <c r="C37" s="532"/>
      <c r="D37" s="532"/>
      <c r="E37" s="532"/>
      <c r="F37" s="532"/>
      <c r="G37" s="526"/>
      <c r="H37" s="526"/>
    </row>
    <row r="38" spans="1:8">
      <c r="A38" s="524"/>
      <c r="B38" s="524"/>
      <c r="C38" s="525"/>
      <c r="D38" s="525"/>
      <c r="E38" s="525"/>
      <c r="F38" s="525"/>
      <c r="G38" s="526"/>
      <c r="H38" s="526"/>
    </row>
    <row r="39" spans="1:8">
      <c r="A39" s="1163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63"/>
      <c r="C39" s="1163"/>
      <c r="D39" s="1163"/>
      <c r="E39" s="1163"/>
      <c r="F39" s="1163"/>
      <c r="G39" s="1163"/>
      <c r="H39" s="1163"/>
    </row>
    <row r="40" spans="1:8">
      <c r="A40" s="1163" t="str">
        <f ca="1" xml:space="preserve"> IF(ROWS($1:1)&gt;COUNT(Dong3),"","Lý do giảm:   "&amp;OFFSET('SO-TS'!$O$1,SMALL(Dong3,ROWS($1:1)),))</f>
        <v xml:space="preserve">Lý do giảm:   </v>
      </c>
      <c r="B40" s="1163"/>
      <c r="C40" s="1163"/>
      <c r="D40" s="1163"/>
      <c r="E40" s="1163"/>
      <c r="F40" s="1163"/>
      <c r="G40" s="1163"/>
      <c r="H40" s="1163"/>
    </row>
    <row r="41" spans="1:8">
      <c r="A41" s="501"/>
      <c r="B41" s="501"/>
      <c r="C41" s="496"/>
      <c r="D41" s="496"/>
      <c r="E41" s="1150" t="s">
        <v>363</v>
      </c>
      <c r="F41" s="1150"/>
      <c r="G41" s="1150"/>
      <c r="H41" s="1150"/>
    </row>
    <row r="42" spans="1:8">
      <c r="A42" s="1164" t="s">
        <v>313</v>
      </c>
      <c r="B42" s="1164"/>
      <c r="C42" s="1164" t="s">
        <v>12</v>
      </c>
      <c r="D42" s="1164"/>
      <c r="E42" s="1136" t="s">
        <v>109</v>
      </c>
      <c r="F42" s="1136"/>
      <c r="G42" s="1136"/>
      <c r="H42" s="1136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478"/>
      <c r="B45" s="478"/>
      <c r="C45" s="481"/>
      <c r="D45" s="481"/>
      <c r="E45" s="481"/>
      <c r="F45" s="481"/>
      <c r="G45" s="481"/>
      <c r="H45" s="481"/>
    </row>
    <row r="46" spans="1:8">
      <c r="A46" s="478"/>
      <c r="B46" s="478"/>
      <c r="C46" s="481"/>
      <c r="D46" s="481"/>
      <c r="E46" s="481"/>
      <c r="F46" s="481"/>
      <c r="G46" s="481"/>
      <c r="H46" s="481"/>
    </row>
    <row r="47" spans="1:8">
      <c r="A47" s="478"/>
      <c r="B47" s="478"/>
      <c r="C47" s="481"/>
      <c r="D47" s="481"/>
      <c r="E47" s="481"/>
      <c r="F47" s="481"/>
      <c r="G47" s="481"/>
      <c r="H47" s="481"/>
    </row>
    <row r="48" spans="1:8">
      <c r="A48" s="478"/>
      <c r="B48" s="478"/>
      <c r="C48" s="481"/>
      <c r="D48" s="481"/>
      <c r="E48" s="481"/>
      <c r="F48" s="481"/>
      <c r="G48" s="481"/>
      <c r="H48" s="481"/>
    </row>
    <row r="49" spans="1:8">
      <c r="A49" s="478"/>
      <c r="B49" s="478"/>
      <c r="C49" s="481"/>
      <c r="D49" s="481"/>
      <c r="E49" s="481"/>
      <c r="F49" s="481"/>
      <c r="G49" s="481"/>
      <c r="H49" s="481"/>
    </row>
    <row r="50" spans="1:8">
      <c r="A50" s="1149" t="s">
        <v>151</v>
      </c>
      <c r="B50" s="1149"/>
      <c r="C50" s="496"/>
      <c r="D50" s="496"/>
      <c r="E50" s="1150" t="s">
        <v>103</v>
      </c>
      <c r="F50" s="1150"/>
      <c r="G50" s="1150"/>
      <c r="H50" s="1150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43.42578125" style="664" customWidth="1"/>
    <col min="5" max="5" width="7.140625" style="664" customWidth="1"/>
    <col min="6" max="6" width="14.140625" style="664" customWidth="1"/>
    <col min="7" max="7" width="14.85546875" style="664" customWidth="1"/>
    <col min="8" max="9" width="12" style="664" customWidth="1"/>
    <col min="10" max="10" width="12.85546875" style="664" customWidth="1"/>
    <col min="11" max="12" width="13.5703125" style="664" customWidth="1"/>
    <col min="13" max="13" width="12.7109375" style="664" customWidth="1"/>
    <col min="14" max="14" width="6.28515625" style="664" customWidth="1"/>
    <col min="15" max="15" width="8.42578125" style="664" customWidth="1"/>
    <col min="16" max="16384" width="9.140625" style="664"/>
  </cols>
  <sheetData>
    <row r="2" spans="1:16">
      <c r="A2" s="663" t="str">
        <f>'IN-NX'!A2</f>
        <v>Đơn vị: CÔNG TY TNHH SX TM KIM DUNG PHÁT</v>
      </c>
      <c r="F2" s="665"/>
      <c r="G2" s="665"/>
      <c r="H2" s="665"/>
      <c r="I2" s="665"/>
      <c r="J2" s="1168" t="s">
        <v>376</v>
      </c>
      <c r="K2" s="1168"/>
      <c r="L2" s="1168"/>
      <c r="M2" s="1168"/>
    </row>
    <row r="3" spans="1:16" ht="15" customHeight="1">
      <c r="A3" s="693" t="str">
        <f>'IN-NX'!A3</f>
        <v>Địa chỉ: 1A227/1 Ấp 1, Phạm Văn Hai, Bình Chánh, TPHCM</v>
      </c>
      <c r="J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71"/>
      <c r="L3" s="1171"/>
      <c r="M3" s="1171"/>
    </row>
    <row r="4" spans="1:16">
      <c r="J4" s="1171"/>
      <c r="K4" s="1171"/>
      <c r="L4" s="1171"/>
      <c r="M4" s="1171"/>
    </row>
    <row r="5" spans="1:16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666" t="s">
        <v>167</v>
      </c>
      <c r="O5" s="597">
        <f>IF(O13="Quý I",1,IF(O13="Quý II",4,IF(O13="Quý III",7,IF(O13="Quý IV",10,""))))</f>
        <v>4</v>
      </c>
      <c r="P5" s="597">
        <f>IF(O13="Quý I",3,IF(O13="Quý II",6,IF(O13="Quý III",9,IF(O13="Quý IV",12,""))))</f>
        <v>6</v>
      </c>
    </row>
    <row r="6" spans="1:16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691"/>
    </row>
    <row r="7" spans="1:16">
      <c r="B7" s="667"/>
      <c r="C7" s="667"/>
      <c r="D7" s="667"/>
      <c r="E7" s="668" t="s">
        <v>379</v>
      </c>
      <c r="G7" s="667"/>
      <c r="H7" s="667"/>
      <c r="I7" s="667"/>
      <c r="J7" s="667"/>
      <c r="K7" s="667"/>
      <c r="L7" s="667"/>
      <c r="M7" s="667"/>
    </row>
    <row r="8" spans="1:16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  <c r="M8" s="667"/>
    </row>
    <row r="9" spans="1:16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  <c r="M9" s="669"/>
    </row>
    <row r="10" spans="1:16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  <c r="M10" s="1167"/>
    </row>
    <row r="11" spans="1:16" ht="15.75" customHeight="1">
      <c r="A11" s="1173" t="s">
        <v>20</v>
      </c>
      <c r="B11" s="1174" t="s">
        <v>1</v>
      </c>
      <c r="C11" s="1174"/>
      <c r="D11" s="1173" t="s">
        <v>0</v>
      </c>
      <c r="E11" s="1173" t="s">
        <v>219</v>
      </c>
      <c r="F11" s="1174" t="s">
        <v>382</v>
      </c>
      <c r="G11" s="1174"/>
      <c r="H11" s="1174"/>
      <c r="I11" s="1174"/>
      <c r="J11" s="1174"/>
      <c r="K11" s="1174"/>
      <c r="L11" s="1174"/>
      <c r="M11" s="1174"/>
    </row>
    <row r="12" spans="1:16" ht="15.75" customHeight="1" thickBot="1">
      <c r="A12" s="1173"/>
      <c r="B12" s="1175" t="s">
        <v>15</v>
      </c>
      <c r="C12" s="1175" t="s">
        <v>32</v>
      </c>
      <c r="D12" s="1173"/>
      <c r="E12" s="1173"/>
      <c r="F12" s="1175" t="s">
        <v>383</v>
      </c>
      <c r="G12" s="1175" t="s">
        <v>384</v>
      </c>
      <c r="H12" s="1175"/>
      <c r="I12" s="1175"/>
      <c r="J12" s="1175"/>
      <c r="K12" s="1175"/>
      <c r="L12" s="1175"/>
      <c r="M12" s="1175"/>
    </row>
    <row r="13" spans="1:16" ht="31.5" customHeight="1" thickBot="1">
      <c r="A13" s="1173"/>
      <c r="B13" s="1175"/>
      <c r="C13" s="1175"/>
      <c r="D13" s="1173"/>
      <c r="E13" s="1173"/>
      <c r="F13" s="1175"/>
      <c r="G13" s="670" t="s">
        <v>370</v>
      </c>
      <c r="H13" s="670" t="s">
        <v>371</v>
      </c>
      <c r="I13" s="670" t="s">
        <v>372</v>
      </c>
      <c r="J13" s="670" t="s">
        <v>385</v>
      </c>
      <c r="K13" s="670" t="s">
        <v>386</v>
      </c>
      <c r="L13" s="670" t="s">
        <v>368</v>
      </c>
      <c r="M13" s="670" t="s">
        <v>387</v>
      </c>
      <c r="O13" s="692" t="s">
        <v>348</v>
      </c>
    </row>
    <row r="14" spans="1:16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/>
      <c r="J14" s="671">
        <v>4</v>
      </c>
      <c r="K14" s="671">
        <v>5</v>
      </c>
      <c r="L14" s="671"/>
      <c r="M14" s="671">
        <v>6</v>
      </c>
    </row>
    <row r="15" spans="1:16" ht="22.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  <c r="M15" s="674"/>
    </row>
    <row r="16" spans="1:16" ht="22.5" customHeight="1">
      <c r="A16" s="675">
        <f ca="1">IF(ROWS($1:1)&gt;COUNT(Dong9),"",OFFSET(TH!C$1,SMALL(Dong9,ROWS($1:1)),))</f>
        <v>41730</v>
      </c>
      <c r="B16" s="675" t="str">
        <f ca="1">IF(ROWS($1:1)&gt;COUNT(Dong9),"",OFFSET(TH!D$1,SMALL(Dong9,ROWS($1:1)),))</f>
        <v>CTGS</v>
      </c>
      <c r="C16" s="675">
        <f ca="1">IF(ROWS($1:1)&gt;COUNT(Dong9),"",OFFSET(TH!E$1,SMALL(Dong9,ROWS($1:1)),))</f>
        <v>41730</v>
      </c>
      <c r="D16" s="676" t="str">
        <f ca="1">IF(ROWS($1:1)&gt;COUNT(Dong9),"",OFFSET(TH!F$1,SMALL(Dong9,ROWS($1:1)),))</f>
        <v>Trích khấu hao TSCĐ Hữu hình</v>
      </c>
      <c r="E16" s="675" t="str">
        <f ca="1">IF(ROWS($1:1)&gt;COUNT(Dong9),"",OFFSET(TH!M$1,SMALL(Dong9,ROWS($1:1)),))</f>
        <v>2141</v>
      </c>
      <c r="F16" s="677">
        <f ca="1">IF(ROWS($1:1)&gt;COUNT(Dong9),"",OFFSET(TH!K$1,SMALL(Dong9,ROWS($1:1)),))</f>
        <v>18250000</v>
      </c>
      <c r="G16" s="677">
        <f ca="1">IF($E16="1521",$F16,0)</f>
        <v>0</v>
      </c>
      <c r="H16" s="677">
        <f ca="1">IF($E16="1522",$F16,0)</f>
        <v>0</v>
      </c>
      <c r="I16" s="677">
        <f ca="1">IF(LEFT(D16,6)="Mực in",F16,0)</f>
        <v>0</v>
      </c>
      <c r="J16" s="677">
        <f ca="1">IF(OR(LEFT($E16,3)="334",LEFT($E16,3)="338"),$F16,0)</f>
        <v>0</v>
      </c>
      <c r="K16" s="677">
        <f ca="1">IF(OR(LEFT($E16,3)="331",AND(LEFT($E16,3)="111",$D16="Tiền điện")),$F16,0)</f>
        <v>0</v>
      </c>
      <c r="L16" s="677">
        <f ca="1">IF($E16="142",$F16,0)</f>
        <v>0</v>
      </c>
      <c r="M16" s="67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75">
        <f ca="1">IF(ROWS($1:2)&gt;COUNT(Dong9),"",OFFSET(TH!C$1,SMALL(Dong9,ROWS($1:2)),))</f>
        <v>41759</v>
      </c>
      <c r="B17" s="675" t="str">
        <f ca="1">IF(ROWS($1:2)&gt;COUNT(Dong9),"",OFFSET(TH!D$1,SMALL(Dong9,ROWS($1:2)),))</f>
        <v>CTGS</v>
      </c>
      <c r="C17" s="675">
        <f ca="1">IF(ROWS($1:2)&gt;COUNT(Dong9),"",OFFSET(TH!E$1,SMALL(Dong9,ROWS($1:2)),))</f>
        <v>41759</v>
      </c>
      <c r="D17" s="676" t="str">
        <f ca="1">IF(ROWS($1:2)&gt;COUNT(Dong9),"",OFFSET(TH!F$1,SMALL(Dong9,ROWS($1:2)),))</f>
        <v>Tiền lương BP Phân Xưởng &amp; CN</v>
      </c>
      <c r="E17" s="675" t="str">
        <f ca="1">IF(ROWS($1:2)&gt;COUNT(Dong9),"",OFFSET(TH!M$1,SMALL(Dong9,ROWS($1:2)),))</f>
        <v>3341</v>
      </c>
      <c r="F17" s="677">
        <f ca="1">IF(ROWS($1:2)&gt;COUNT(Dong9),"",OFFSET(TH!K$1,SMALL(Dong9,ROWS($1:2)),))</f>
        <v>5150000</v>
      </c>
      <c r="G17" s="677">
        <f t="shared" ref="G17:G33" ca="1" si="0">IF($E17="1521",$F17,0)</f>
        <v>0</v>
      </c>
      <c r="H17" s="677">
        <f t="shared" ref="H17:H33" ca="1" si="1">IF($E17="1522",$F17,0)</f>
        <v>0</v>
      </c>
      <c r="I17" s="677">
        <f t="shared" ref="I17:I33" ca="1" si="2">IF(LEFT(D17,6)="Mực in",F17,0)</f>
        <v>0</v>
      </c>
      <c r="J17" s="677">
        <f t="shared" ref="J17:J33" ca="1" si="3">IF(OR(LEFT($E17,3)="334",LEFT($E17,3)="338"),$F17,0)</f>
        <v>5150000</v>
      </c>
      <c r="K17" s="677">
        <f t="shared" ref="K17:K33" ca="1" si="4">IF(OR(LEFT($E17,3)="331",AND(LEFT($E17,3)="111",$D17="Tiền điện")),$F17,0)</f>
        <v>0</v>
      </c>
      <c r="L17" s="677">
        <f t="shared" ref="L17:L33" ca="1" si="5">IF($E17="142",$F17,0)</f>
        <v>0</v>
      </c>
      <c r="M17" s="67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5">
        <f ca="1">IF(ROWS($1:3)&gt;COUNT(Dong9),"",OFFSET(TH!C$1,SMALL(Dong9,ROWS($1:3)),))</f>
        <v>41790</v>
      </c>
      <c r="B18" s="675" t="str">
        <f ca="1">IF(ROWS($1:3)&gt;COUNT(Dong9),"",OFFSET(TH!D$1,SMALL(Dong9,ROWS($1:3)),))</f>
        <v>CTGS</v>
      </c>
      <c r="C18" s="675">
        <f ca="1">IF(ROWS($1:3)&gt;COUNT(Dong9),"",OFFSET(TH!E$1,SMALL(Dong9,ROWS($1:3)),))</f>
        <v>41790</v>
      </c>
      <c r="D18" s="676" t="str">
        <f ca="1">IF(ROWS($1:3)&gt;COUNT(Dong9),"",OFFSET(TH!F$1,SMALL(Dong9,ROWS($1:3)),))</f>
        <v>Tiền lương BP Phân Xưởng &amp; CN</v>
      </c>
      <c r="E18" s="675" t="str">
        <f ca="1">IF(ROWS($1:3)&gt;COUNT(Dong9),"",OFFSET(TH!M$1,SMALL(Dong9,ROWS($1:3)),))</f>
        <v>3341</v>
      </c>
      <c r="F18" s="677">
        <f ca="1">IF(ROWS($1:3)&gt;COUNT(Dong9),"",OFFSET(TH!K$1,SMALL(Dong9,ROWS($1:3)),))</f>
        <v>5180000</v>
      </c>
      <c r="G18" s="677">
        <f t="shared" ca="1" si="0"/>
        <v>0</v>
      </c>
      <c r="H18" s="677">
        <f t="shared" ca="1" si="1"/>
        <v>0</v>
      </c>
      <c r="I18" s="677">
        <f t="shared" ca="1" si="2"/>
        <v>0</v>
      </c>
      <c r="J18" s="677">
        <f t="shared" ca="1" si="3"/>
        <v>5180000</v>
      </c>
      <c r="K18" s="677">
        <f t="shared" ca="1" si="4"/>
        <v>0</v>
      </c>
      <c r="L18" s="677">
        <f t="shared" ca="1" si="5"/>
        <v>0</v>
      </c>
      <c r="M18" s="677">
        <f t="shared" ca="1" si="6"/>
        <v>0</v>
      </c>
    </row>
    <row r="19" spans="1:13" ht="22.5" customHeight="1">
      <c r="A19" s="675">
        <f ca="1">IF(ROWS($1:4)&gt;COUNT(Dong9),"",OFFSET(TH!C$1,SMALL(Dong9,ROWS($1:4)),))</f>
        <v>41820</v>
      </c>
      <c r="B19" s="675" t="str">
        <f ca="1">IF(ROWS($1:4)&gt;COUNT(Dong9),"",OFFSET(TH!D$1,SMALL(Dong9,ROWS($1:4)),))</f>
        <v>CTGS</v>
      </c>
      <c r="C19" s="675">
        <f ca="1">IF(ROWS($1:4)&gt;COUNT(Dong9),"",OFFSET(TH!E$1,SMALL(Dong9,ROWS($1:4)),))</f>
        <v>41820</v>
      </c>
      <c r="D19" s="676" t="str">
        <f ca="1">IF(ROWS($1:4)&gt;COUNT(Dong9),"",OFFSET(TH!F$1,SMALL(Dong9,ROWS($1:4)),))</f>
        <v>Tiền lương BP Phân Xưởng &amp; CN</v>
      </c>
      <c r="E19" s="675" t="str">
        <f ca="1">IF(ROWS($1:4)&gt;COUNT(Dong9),"",OFFSET(TH!M$1,SMALL(Dong9,ROWS($1:4)),))</f>
        <v>3341</v>
      </c>
      <c r="F19" s="677">
        <f ca="1">IF(ROWS($1:4)&gt;COUNT(Dong9),"",OFFSET(TH!K$1,SMALL(Dong9,ROWS($1:4)),))</f>
        <v>5150000</v>
      </c>
      <c r="G19" s="677">
        <f t="shared" ca="1" si="0"/>
        <v>0</v>
      </c>
      <c r="H19" s="677">
        <f t="shared" ca="1" si="1"/>
        <v>0</v>
      </c>
      <c r="I19" s="677">
        <f t="shared" ca="1" si="2"/>
        <v>0</v>
      </c>
      <c r="J19" s="677">
        <f t="shared" ca="1" si="3"/>
        <v>5150000</v>
      </c>
      <c r="K19" s="677">
        <f t="shared" ca="1" si="4"/>
        <v>0</v>
      </c>
      <c r="L19" s="677">
        <f t="shared" ca="1" si="5"/>
        <v>0</v>
      </c>
      <c r="M19" s="677">
        <f t="shared" ca="1" si="6"/>
        <v>0</v>
      </c>
    </row>
    <row r="20" spans="1:13" ht="22.5" customHeight="1">
      <c r="A20" s="675">
        <f ca="1">IF(ROWS($1:5)&gt;COUNT(Dong9),"",OFFSET(TH!C$1,SMALL(Dong9,ROWS($1:5)),))</f>
        <v>41737</v>
      </c>
      <c r="B20" s="675">
        <f ca="1">IF(ROWS($1:5)&gt;COUNT(Dong9),"",OFFSET(TH!D$1,SMALL(Dong9,ROWS($1:5)),))</f>
        <v>0</v>
      </c>
      <c r="C20" s="675">
        <f ca="1">IF(ROWS($1:5)&gt;COUNT(Dong9),"",OFFSET(TH!E$1,SMALL(Dong9,ROWS($1:5)),))</f>
        <v>41737</v>
      </c>
      <c r="D20" s="676" t="str">
        <f ca="1">IF(ROWS($1:5)&gt;COUNT(Dong9),"",OFFSET(TH!F$1,SMALL(Dong9,ROWS($1:5)),))</f>
        <v>Mực in</v>
      </c>
      <c r="E20" s="675" t="str">
        <f ca="1">IF(ROWS($1:5)&gt;COUNT(Dong9),"",OFFSET(TH!M$1,SMALL(Dong9,ROWS($1:5)),))</f>
        <v>1111</v>
      </c>
      <c r="F20" s="677">
        <f ca="1">IF(ROWS($1:5)&gt;COUNT(Dong9),"",OFFSET(TH!K$1,SMALL(Dong9,ROWS($1:5)),))</f>
        <v>4290000</v>
      </c>
      <c r="G20" s="677">
        <f t="shared" ca="1" si="0"/>
        <v>0</v>
      </c>
      <c r="H20" s="677">
        <f t="shared" ca="1" si="1"/>
        <v>0</v>
      </c>
      <c r="I20" s="677">
        <f t="shared" ca="1" si="2"/>
        <v>4290000</v>
      </c>
      <c r="J20" s="677">
        <f t="shared" ca="1" si="3"/>
        <v>0</v>
      </c>
      <c r="K20" s="677">
        <f t="shared" ca="1" si="4"/>
        <v>0</v>
      </c>
      <c r="L20" s="677">
        <f t="shared" ca="1" si="5"/>
        <v>0</v>
      </c>
      <c r="M20" s="677">
        <f t="shared" ca="1" si="6"/>
        <v>0</v>
      </c>
    </row>
    <row r="21" spans="1:13" ht="22.5" customHeight="1">
      <c r="A21" s="675">
        <f ca="1">IF(ROWS($1:6)&gt;COUNT(Dong9),"",OFFSET(TH!C$1,SMALL(Dong9,ROWS($1:6)),))</f>
        <v>41743</v>
      </c>
      <c r="B21" s="675">
        <f ca="1">IF(ROWS($1:6)&gt;COUNT(Dong9),"",OFFSET(TH!D$1,SMALL(Dong9,ROWS($1:6)),))</f>
        <v>0</v>
      </c>
      <c r="C21" s="675">
        <f ca="1">IF(ROWS($1:6)&gt;COUNT(Dong9),"",OFFSET(TH!E$1,SMALL(Dong9,ROWS($1:6)),))</f>
        <v>41743</v>
      </c>
      <c r="D21" s="676" t="str">
        <f ca="1">IF(ROWS($1:6)&gt;COUNT(Dong9),"",OFFSET(TH!F$1,SMALL(Dong9,ROWS($1:6)),))</f>
        <v>Mực in</v>
      </c>
      <c r="E21" s="675" t="str">
        <f ca="1">IF(ROWS($1:6)&gt;COUNT(Dong9),"",OFFSET(TH!M$1,SMALL(Dong9,ROWS($1:6)),))</f>
        <v>1111</v>
      </c>
      <c r="F21" s="677">
        <f ca="1">IF(ROWS($1:6)&gt;COUNT(Dong9),"",OFFSET(TH!K$1,SMALL(Dong9,ROWS($1:6)),))</f>
        <v>3710000</v>
      </c>
      <c r="G21" s="677">
        <f t="shared" ca="1" si="0"/>
        <v>0</v>
      </c>
      <c r="H21" s="677">
        <f t="shared" ca="1" si="1"/>
        <v>0</v>
      </c>
      <c r="I21" s="677">
        <f t="shared" ca="1" si="2"/>
        <v>3710000</v>
      </c>
      <c r="J21" s="677">
        <f t="shared" ca="1" si="3"/>
        <v>0</v>
      </c>
      <c r="K21" s="677">
        <f t="shared" ca="1" si="4"/>
        <v>0</v>
      </c>
      <c r="L21" s="677">
        <f t="shared" ca="1" si="5"/>
        <v>0</v>
      </c>
      <c r="M21" s="677">
        <f t="shared" ca="1" si="6"/>
        <v>0</v>
      </c>
    </row>
    <row r="22" spans="1:13" ht="22.5" customHeight="1">
      <c r="A22" s="675">
        <f ca="1">IF(ROWS($1:7)&gt;COUNT(Dong9),"",OFFSET(TH!C$1,SMALL(Dong9,ROWS($1:7)),))</f>
        <v>41789</v>
      </c>
      <c r="B22" s="675">
        <f ca="1">IF(ROWS($1:7)&gt;COUNT(Dong9),"",OFFSET(TH!D$1,SMALL(Dong9,ROWS($1:7)),))</f>
        <v>0</v>
      </c>
      <c r="C22" s="675">
        <f ca="1">IF(ROWS($1:7)&gt;COUNT(Dong9),"",OFFSET(TH!E$1,SMALL(Dong9,ROWS($1:7)),))</f>
        <v>41789</v>
      </c>
      <c r="D22" s="676" t="str">
        <f ca="1">IF(ROWS($1:7)&gt;COUNT(Dong9),"",OFFSET(TH!F$1,SMALL(Dong9,ROWS($1:7)),))</f>
        <v>Mực in</v>
      </c>
      <c r="E22" s="675" t="str">
        <f ca="1">IF(ROWS($1:7)&gt;COUNT(Dong9),"",OFFSET(TH!M$1,SMALL(Dong9,ROWS($1:7)),))</f>
        <v>1111</v>
      </c>
      <c r="F22" s="677">
        <f ca="1">IF(ROWS($1:7)&gt;COUNT(Dong9),"",OFFSET(TH!K$1,SMALL(Dong9,ROWS($1:7)),))</f>
        <v>5040000</v>
      </c>
      <c r="G22" s="677">
        <f t="shared" ca="1" si="0"/>
        <v>0</v>
      </c>
      <c r="H22" s="677">
        <f t="shared" ca="1" si="1"/>
        <v>0</v>
      </c>
      <c r="I22" s="677">
        <f t="shared" ca="1" si="2"/>
        <v>5040000</v>
      </c>
      <c r="J22" s="677">
        <f t="shared" ca="1" si="3"/>
        <v>0</v>
      </c>
      <c r="K22" s="677">
        <f t="shared" ca="1" si="4"/>
        <v>0</v>
      </c>
      <c r="L22" s="677">
        <f t="shared" ca="1" si="5"/>
        <v>0</v>
      </c>
      <c r="M22" s="677">
        <f t="shared" ca="1" si="6"/>
        <v>0</v>
      </c>
    </row>
    <row r="23" spans="1:13" ht="22.5" customHeight="1">
      <c r="A23" s="675">
        <f ca="1">IF(ROWS($1:8)&gt;COUNT(Dong9),"",OFFSET(TH!C$1,SMALL(Dong9,ROWS($1:8)),))</f>
        <v>41795</v>
      </c>
      <c r="B23" s="675">
        <f ca="1">IF(ROWS($1:8)&gt;COUNT(Dong9),"",OFFSET(TH!D$1,SMALL(Dong9,ROWS($1:8)),))</f>
        <v>0</v>
      </c>
      <c r="C23" s="675">
        <f ca="1">IF(ROWS($1:8)&gt;COUNT(Dong9),"",OFFSET(TH!E$1,SMALL(Dong9,ROWS($1:8)),))</f>
        <v>41795</v>
      </c>
      <c r="D23" s="676" t="str">
        <f ca="1">IF(ROWS($1:8)&gt;COUNT(Dong9),"",OFFSET(TH!F$1,SMALL(Dong9,ROWS($1:8)),))</f>
        <v>Mực in</v>
      </c>
      <c r="E23" s="675" t="str">
        <f ca="1">IF(ROWS($1:8)&gt;COUNT(Dong9),"",OFFSET(TH!M$1,SMALL(Dong9,ROWS($1:8)),))</f>
        <v>1111</v>
      </c>
      <c r="F23" s="677">
        <f ca="1">IF(ROWS($1:8)&gt;COUNT(Dong9),"",OFFSET(TH!K$1,SMALL(Dong9,ROWS($1:8)),))</f>
        <v>4070000</v>
      </c>
      <c r="G23" s="677">
        <f t="shared" ca="1" si="0"/>
        <v>0</v>
      </c>
      <c r="H23" s="677">
        <f t="shared" ca="1" si="1"/>
        <v>0</v>
      </c>
      <c r="I23" s="677">
        <f t="shared" ca="1" si="2"/>
        <v>4070000</v>
      </c>
      <c r="J23" s="677">
        <f t="shared" ca="1" si="3"/>
        <v>0</v>
      </c>
      <c r="K23" s="677">
        <f t="shared" ca="1" si="4"/>
        <v>0</v>
      </c>
      <c r="L23" s="677">
        <f t="shared" ca="1" si="5"/>
        <v>0</v>
      </c>
      <c r="M23" s="677">
        <f t="shared" ca="1" si="6"/>
        <v>0</v>
      </c>
    </row>
    <row r="24" spans="1:13" ht="22.5" customHeight="1">
      <c r="A24" s="675">
        <f ca="1">IF(ROWS($1:9)&gt;COUNT(Dong9),"",OFFSET(TH!C$1,SMALL(Dong9,ROWS($1:9)),))</f>
        <v>41813</v>
      </c>
      <c r="B24" s="675">
        <f ca="1">IF(ROWS($1:9)&gt;COUNT(Dong9),"",OFFSET(TH!D$1,SMALL(Dong9,ROWS($1:9)),))</f>
        <v>0</v>
      </c>
      <c r="C24" s="675">
        <f ca="1">IF(ROWS($1:9)&gt;COUNT(Dong9),"",OFFSET(TH!E$1,SMALL(Dong9,ROWS($1:9)),))</f>
        <v>41813</v>
      </c>
      <c r="D24" s="676" t="str">
        <f ca="1">IF(ROWS($1:9)&gt;COUNT(Dong9),"",OFFSET(TH!F$1,SMALL(Dong9,ROWS($1:9)),))</f>
        <v>Mực in</v>
      </c>
      <c r="E24" s="675" t="str">
        <f ca="1">IF(ROWS($1:9)&gt;COUNT(Dong9),"",OFFSET(TH!M$1,SMALL(Dong9,ROWS($1:9)),))</f>
        <v>1111</v>
      </c>
      <c r="F24" s="677">
        <f ca="1">IF(ROWS($1:9)&gt;COUNT(Dong9),"",OFFSET(TH!K$1,SMALL(Dong9,ROWS($1:9)),))</f>
        <v>3580000</v>
      </c>
      <c r="G24" s="677">
        <f t="shared" ca="1" si="0"/>
        <v>0</v>
      </c>
      <c r="H24" s="677">
        <f t="shared" ca="1" si="1"/>
        <v>0</v>
      </c>
      <c r="I24" s="677">
        <f t="shared" ca="1" si="2"/>
        <v>3580000</v>
      </c>
      <c r="J24" s="677">
        <f t="shared" ca="1" si="3"/>
        <v>0</v>
      </c>
      <c r="K24" s="677">
        <f t="shared" ca="1" si="4"/>
        <v>0</v>
      </c>
      <c r="L24" s="677">
        <f t="shared" ca="1" si="5"/>
        <v>0</v>
      </c>
      <c r="M24" s="677">
        <f t="shared" ca="1" si="6"/>
        <v>0</v>
      </c>
    </row>
    <row r="25" spans="1:13" ht="22.5" customHeight="1">
      <c r="A25" s="675">
        <f ca="1">IF(ROWS($1:10)&gt;COUNT(Dong9),"",OFFSET(TH!C$1,SMALL(Dong9,ROWS($1:10)),))</f>
        <v>41734</v>
      </c>
      <c r="B25" s="675" t="str">
        <f ca="1">IF(ROWS($1:10)&gt;COUNT(Dong9),"",OFFSET(TH!D$1,SMALL(Dong9,ROWS($1:10)),))</f>
        <v>VL/X</v>
      </c>
      <c r="C25" s="675">
        <f ca="1">IF(ROWS($1:10)&gt;COUNT(Dong9),"",OFFSET(TH!E$1,SMALL(Dong9,ROWS($1:10)),))</f>
        <v>41734</v>
      </c>
      <c r="D25" s="676" t="str">
        <f ca="1">IF(ROWS($1:10)&gt;COUNT(Dong9),"",OFFSET(TH!F$1,SMALL(Dong9,ROWS($1:10)),))</f>
        <v>Keo sữa Polymul</v>
      </c>
      <c r="E25" s="675" t="str">
        <f ca="1">IF(ROWS($1:10)&gt;COUNT(Dong9),"",OFFSET(TH!M$1,SMALL(Dong9,ROWS($1:10)),))</f>
        <v>1522</v>
      </c>
      <c r="F25" s="677">
        <f ca="1">IF(ROWS($1:10)&gt;COUNT(Dong9),"",OFFSET(TH!K$1,SMALL(Dong9,ROWS($1:10)),))</f>
        <v>875000</v>
      </c>
      <c r="G25" s="677">
        <f t="shared" ca="1" si="0"/>
        <v>0</v>
      </c>
      <c r="H25" s="677">
        <f t="shared" ca="1" si="1"/>
        <v>875000</v>
      </c>
      <c r="I25" s="677">
        <f t="shared" ca="1" si="2"/>
        <v>0</v>
      </c>
      <c r="J25" s="677">
        <f t="shared" ca="1" si="3"/>
        <v>0</v>
      </c>
      <c r="K25" s="677">
        <f t="shared" ca="1" si="4"/>
        <v>0</v>
      </c>
      <c r="L25" s="677">
        <f t="shared" ca="1" si="5"/>
        <v>0</v>
      </c>
      <c r="M25" s="677">
        <f t="shared" ca="1" si="6"/>
        <v>0</v>
      </c>
    </row>
    <row r="26" spans="1:13" ht="22.5" customHeight="1">
      <c r="A26" s="675">
        <f ca="1">IF(ROWS($1:11)&gt;COUNT(Dong9),"",OFFSET(TH!C$1,SMALL(Dong9,ROWS($1:11)),))</f>
        <v>41734</v>
      </c>
      <c r="B26" s="675" t="str">
        <f ca="1">IF(ROWS($1:11)&gt;COUNT(Dong9),"",OFFSET(TH!D$1,SMALL(Dong9,ROWS($1:11)),))</f>
        <v>VL/X</v>
      </c>
      <c r="C26" s="675">
        <f ca="1">IF(ROWS($1:11)&gt;COUNT(Dong9),"",OFFSET(TH!E$1,SMALL(Dong9,ROWS($1:11)),))</f>
        <v>41734</v>
      </c>
      <c r="D26" s="676" t="str">
        <f ca="1">IF(ROWS($1:11)&gt;COUNT(Dong9),"",OFFSET(TH!F$1,SMALL(Dong9,ROWS($1:11)),))</f>
        <v>Dây nylon</v>
      </c>
      <c r="E26" s="675" t="str">
        <f ca="1">IF(ROWS($1:11)&gt;COUNT(Dong9),"",OFFSET(TH!M$1,SMALL(Dong9,ROWS($1:11)),))</f>
        <v>1522</v>
      </c>
      <c r="F26" s="677">
        <f ca="1">IF(ROWS($1:11)&gt;COUNT(Dong9),"",OFFSET(TH!K$1,SMALL(Dong9,ROWS($1:11)),))</f>
        <v>984000</v>
      </c>
      <c r="G26" s="677">
        <f t="shared" ca="1" si="0"/>
        <v>0</v>
      </c>
      <c r="H26" s="677">
        <f t="shared" ca="1" si="1"/>
        <v>984000</v>
      </c>
      <c r="I26" s="677">
        <f t="shared" ca="1" si="2"/>
        <v>0</v>
      </c>
      <c r="J26" s="677">
        <f t="shared" ca="1" si="3"/>
        <v>0</v>
      </c>
      <c r="K26" s="677">
        <f t="shared" ca="1" si="4"/>
        <v>0</v>
      </c>
      <c r="L26" s="677">
        <f t="shared" ca="1" si="5"/>
        <v>0</v>
      </c>
      <c r="M26" s="677">
        <f t="shared" ca="1" si="6"/>
        <v>0</v>
      </c>
    </row>
    <row r="27" spans="1:13" ht="22.5" customHeight="1">
      <c r="A27" s="675">
        <f ca="1">IF(ROWS($1:12)&gt;COUNT(Dong9),"",OFFSET(TH!C$1,SMALL(Dong9,ROWS($1:12)),))</f>
        <v>41790</v>
      </c>
      <c r="B27" s="675" t="str">
        <f ca="1">IF(ROWS($1:12)&gt;COUNT(Dong9),"",OFFSET(TH!D$1,SMALL(Dong9,ROWS($1:12)),))</f>
        <v>VL/X</v>
      </c>
      <c r="C27" s="675">
        <f ca="1">IF(ROWS($1:12)&gt;COUNT(Dong9),"",OFFSET(TH!E$1,SMALL(Dong9,ROWS($1:12)),))</f>
        <v>41790</v>
      </c>
      <c r="D27" s="676" t="str">
        <f ca="1">IF(ROWS($1:12)&gt;COUNT(Dong9),"",OFFSET(TH!F$1,SMALL(Dong9,ROWS($1:12)),))</f>
        <v>Dây nylon</v>
      </c>
      <c r="E27" s="675" t="str">
        <f ca="1">IF(ROWS($1:12)&gt;COUNT(Dong9),"",OFFSET(TH!M$1,SMALL(Dong9,ROWS($1:12)),))</f>
        <v>1522</v>
      </c>
      <c r="F27" s="677">
        <f ca="1">IF(ROWS($1:12)&gt;COUNT(Dong9),"",OFFSET(TH!K$1,SMALL(Dong9,ROWS($1:12)),))</f>
        <v>1056000</v>
      </c>
      <c r="G27" s="677">
        <f t="shared" ca="1" si="0"/>
        <v>0</v>
      </c>
      <c r="H27" s="677">
        <f t="shared" ca="1" si="1"/>
        <v>1056000</v>
      </c>
      <c r="I27" s="677">
        <f t="shared" ca="1" si="2"/>
        <v>0</v>
      </c>
      <c r="J27" s="677">
        <f t="shared" ca="1" si="3"/>
        <v>0</v>
      </c>
      <c r="K27" s="677">
        <f t="shared" ca="1" si="4"/>
        <v>0</v>
      </c>
      <c r="L27" s="677">
        <f t="shared" ca="1" si="5"/>
        <v>0</v>
      </c>
      <c r="M27" s="677">
        <f t="shared" ca="1" si="6"/>
        <v>0</v>
      </c>
    </row>
    <row r="28" spans="1:13" ht="22.5" customHeight="1">
      <c r="A28" s="675">
        <f ca="1">IF(ROWS($1:13)&gt;COUNT(Dong9),"",OFFSET(TH!C$1,SMALL(Dong9,ROWS($1:13)),))</f>
        <v>41730</v>
      </c>
      <c r="B28" s="675" t="str">
        <f ca="1">IF(ROWS($1:13)&gt;COUNT(Dong9),"",OFFSET(TH!D$1,SMALL(Dong9,ROWS($1:13)),))</f>
        <v>NL/X</v>
      </c>
      <c r="C28" s="675">
        <f ca="1">IF(ROWS($1:13)&gt;COUNT(Dong9),"",OFFSET(TH!E$1,SMALL(Dong9,ROWS($1:13)),))</f>
        <v>41730</v>
      </c>
      <c r="D28" s="676" t="str">
        <f ca="1">IF(ROWS($1:13)&gt;COUNT(Dong9),"",OFFSET(TH!F$1,SMALL(Dong9,ROWS($1:13)),))</f>
        <v>Giấy tấm 5 lớp 140x176</v>
      </c>
      <c r="E28" s="675" t="str">
        <f ca="1">IF(ROWS($1:13)&gt;COUNT(Dong9),"",OFFSET(TH!M$1,SMALL(Dong9,ROWS($1:13)),))</f>
        <v>1521</v>
      </c>
      <c r="F28" s="677">
        <f ca="1">IF(ROWS($1:13)&gt;COUNT(Dong9),"",OFFSET(TH!K$1,SMALL(Dong9,ROWS($1:13)),))</f>
        <v>2059885</v>
      </c>
      <c r="G28" s="677">
        <f t="shared" ca="1" si="0"/>
        <v>2059885</v>
      </c>
      <c r="H28" s="677">
        <f t="shared" ca="1" si="1"/>
        <v>0</v>
      </c>
      <c r="I28" s="677">
        <f t="shared" ca="1" si="2"/>
        <v>0</v>
      </c>
      <c r="J28" s="677">
        <f t="shared" ca="1" si="3"/>
        <v>0</v>
      </c>
      <c r="K28" s="677">
        <f t="shared" ca="1" si="4"/>
        <v>0</v>
      </c>
      <c r="L28" s="677">
        <f t="shared" ca="1" si="5"/>
        <v>0</v>
      </c>
      <c r="M28" s="677">
        <f t="shared" ca="1" si="6"/>
        <v>0</v>
      </c>
    </row>
    <row r="29" spans="1:13" ht="22.5" customHeight="1">
      <c r="A29" s="675">
        <f ca="1">IF(ROWS($1:14)&gt;COUNT(Dong9),"",OFFSET(TH!C$1,SMALL(Dong9,ROWS($1:14)),))</f>
        <v>41730</v>
      </c>
      <c r="B29" s="675" t="str">
        <f ca="1">IF(ROWS($1:14)&gt;COUNT(Dong9),"",OFFSET(TH!D$1,SMALL(Dong9,ROWS($1:14)),))</f>
        <v>NL/X</v>
      </c>
      <c r="C29" s="675">
        <f ca="1">IF(ROWS($1:14)&gt;COUNT(Dong9),"",OFFSET(TH!E$1,SMALL(Dong9,ROWS($1:14)),))</f>
        <v>41730</v>
      </c>
      <c r="D29" s="676" t="str">
        <f ca="1">IF(ROWS($1:14)&gt;COUNT(Dong9),"",OFFSET(TH!F$1,SMALL(Dong9,ROWS($1:14)),))</f>
        <v>Giấy tấm 120x164</v>
      </c>
      <c r="E29" s="675" t="str">
        <f ca="1">IF(ROWS($1:14)&gt;COUNT(Dong9),"",OFFSET(TH!M$1,SMALL(Dong9,ROWS($1:14)),))</f>
        <v>1521</v>
      </c>
      <c r="F29" s="677">
        <f ca="1">IF(ROWS($1:14)&gt;COUNT(Dong9),"",OFFSET(TH!K$1,SMALL(Dong9,ROWS($1:14)),))</f>
        <v>3463600</v>
      </c>
      <c r="G29" s="677">
        <f t="shared" ca="1" si="0"/>
        <v>3463600</v>
      </c>
      <c r="H29" s="677">
        <f t="shared" ca="1" si="1"/>
        <v>0</v>
      </c>
      <c r="I29" s="677">
        <f t="shared" ca="1" si="2"/>
        <v>0</v>
      </c>
      <c r="J29" s="677">
        <f t="shared" ca="1" si="3"/>
        <v>0</v>
      </c>
      <c r="K29" s="677">
        <f t="shared" ca="1" si="4"/>
        <v>0</v>
      </c>
      <c r="L29" s="677">
        <f t="shared" ca="1" si="5"/>
        <v>0</v>
      </c>
      <c r="M29" s="677">
        <f t="shared" ca="1" si="6"/>
        <v>0</v>
      </c>
    </row>
    <row r="30" spans="1:13" ht="22.5" customHeight="1">
      <c r="A30" s="675">
        <f ca="1">IF(ROWS($1:15)&gt;COUNT(Dong9),"",OFFSET(TH!C$1,SMALL(Dong9,ROWS($1:15)),))</f>
        <v>41737</v>
      </c>
      <c r="B30" s="675" t="str">
        <f ca="1">IF(ROWS($1:15)&gt;COUNT(Dong9),"",OFFSET(TH!D$1,SMALL(Dong9,ROWS($1:15)),))</f>
        <v>NL/X</v>
      </c>
      <c r="C30" s="675">
        <f ca="1">IF(ROWS($1:15)&gt;COUNT(Dong9),"",OFFSET(TH!E$1,SMALL(Dong9,ROWS($1:15)),))</f>
        <v>41737</v>
      </c>
      <c r="D30" s="676" t="str">
        <f ca="1">IF(ROWS($1:15)&gt;COUNT(Dong9),"",OFFSET(TH!F$1,SMALL(Dong9,ROWS($1:15)),))</f>
        <v>Giấy tấm 135x117</v>
      </c>
      <c r="E30" s="675" t="str">
        <f ca="1">IF(ROWS($1:15)&gt;COUNT(Dong9),"",OFFSET(TH!M$1,SMALL(Dong9,ROWS($1:15)),))</f>
        <v>1521</v>
      </c>
      <c r="F30" s="677">
        <f ca="1">IF(ROWS($1:15)&gt;COUNT(Dong9),"",OFFSET(TH!K$1,SMALL(Dong9,ROWS($1:15)),))</f>
        <v>6595920</v>
      </c>
      <c r="G30" s="677">
        <f t="shared" ca="1" si="0"/>
        <v>6595920</v>
      </c>
      <c r="H30" s="677">
        <f t="shared" ca="1" si="1"/>
        <v>0</v>
      </c>
      <c r="I30" s="677">
        <f t="shared" ca="1" si="2"/>
        <v>0</v>
      </c>
      <c r="J30" s="677">
        <f t="shared" ca="1" si="3"/>
        <v>0</v>
      </c>
      <c r="K30" s="677">
        <f t="shared" ca="1" si="4"/>
        <v>0</v>
      </c>
      <c r="L30" s="677">
        <f t="shared" ca="1" si="5"/>
        <v>0</v>
      </c>
      <c r="M30" s="677">
        <f t="shared" ca="1" si="6"/>
        <v>0</v>
      </c>
    </row>
    <row r="31" spans="1:13" ht="22.5" customHeight="1">
      <c r="A31" s="675">
        <f ca="1">IF(ROWS($1:16)&gt;COUNT(Dong9),"",OFFSET(TH!C$1,SMALL(Dong9,ROWS($1:16)),))</f>
        <v>41737</v>
      </c>
      <c r="B31" s="675" t="str">
        <f ca="1">IF(ROWS($1:16)&gt;COUNT(Dong9),"",OFFSET(TH!D$1,SMALL(Dong9,ROWS($1:16)),))</f>
        <v>NL/X</v>
      </c>
      <c r="C31" s="675">
        <f ca="1">IF(ROWS($1:16)&gt;COUNT(Dong9),"",OFFSET(TH!E$1,SMALL(Dong9,ROWS($1:16)),))</f>
        <v>41737</v>
      </c>
      <c r="D31" s="676" t="str">
        <f ca="1">IF(ROWS($1:16)&gt;COUNT(Dong9),"",OFFSET(TH!F$1,SMALL(Dong9,ROWS($1:16)),))</f>
        <v>Giấy tấm 160x140</v>
      </c>
      <c r="E31" s="675" t="str">
        <f ca="1">IF(ROWS($1:16)&gt;COUNT(Dong9),"",OFFSET(TH!M$1,SMALL(Dong9,ROWS($1:16)),))</f>
        <v>1521</v>
      </c>
      <c r="F31" s="677">
        <f ca="1">IF(ROWS($1:16)&gt;COUNT(Dong9),"",OFFSET(TH!K$1,SMALL(Dong9,ROWS($1:16)),))</f>
        <v>2483712</v>
      </c>
      <c r="G31" s="677">
        <f t="shared" ca="1" si="0"/>
        <v>2483712</v>
      </c>
      <c r="H31" s="677">
        <f t="shared" ca="1" si="1"/>
        <v>0</v>
      </c>
      <c r="I31" s="677">
        <f t="shared" ca="1" si="2"/>
        <v>0</v>
      </c>
      <c r="J31" s="677">
        <f t="shared" ca="1" si="3"/>
        <v>0</v>
      </c>
      <c r="K31" s="677">
        <f t="shared" ca="1" si="4"/>
        <v>0</v>
      </c>
      <c r="L31" s="677">
        <f t="shared" ca="1" si="5"/>
        <v>0</v>
      </c>
      <c r="M31" s="677">
        <f t="shared" ca="1" si="6"/>
        <v>0</v>
      </c>
    </row>
    <row r="32" spans="1:13" ht="22.5" customHeight="1">
      <c r="A32" s="675">
        <f ca="1">IF(ROWS($1:17)&gt;COUNT(Dong9),"",OFFSET(TH!C$1,SMALL(Dong9,ROWS($1:17)),))</f>
        <v>41741</v>
      </c>
      <c r="B32" s="675" t="str">
        <f ca="1">IF(ROWS($1:17)&gt;COUNT(Dong9),"",OFFSET(TH!D$1,SMALL(Dong9,ROWS($1:17)),))</f>
        <v>NL/X</v>
      </c>
      <c r="C32" s="675">
        <f ca="1">IF(ROWS($1:17)&gt;COUNT(Dong9),"",OFFSET(TH!E$1,SMALL(Dong9,ROWS($1:17)),))</f>
        <v>41741</v>
      </c>
      <c r="D32" s="676" t="str">
        <f ca="1">IF(ROWS($1:17)&gt;COUNT(Dong9),"",OFFSET(TH!F$1,SMALL(Dong9,ROWS($1:17)),))</f>
        <v>Giấy tấm 115x148</v>
      </c>
      <c r="E32" s="675" t="str">
        <f ca="1">IF(ROWS($1:17)&gt;COUNT(Dong9),"",OFFSET(TH!M$1,SMALL(Dong9,ROWS($1:17)),))</f>
        <v>1521</v>
      </c>
      <c r="F32" s="677">
        <f ca="1">IF(ROWS($1:17)&gt;COUNT(Dong9),"",OFFSET(TH!K$1,SMALL(Dong9,ROWS($1:17)),))</f>
        <v>748900</v>
      </c>
      <c r="G32" s="677">
        <f t="shared" ca="1" si="0"/>
        <v>748900</v>
      </c>
      <c r="H32" s="677">
        <f t="shared" ca="1" si="1"/>
        <v>0</v>
      </c>
      <c r="I32" s="677">
        <f t="shared" ca="1" si="2"/>
        <v>0</v>
      </c>
      <c r="J32" s="677">
        <f t="shared" ca="1" si="3"/>
        <v>0</v>
      </c>
      <c r="K32" s="677">
        <f t="shared" ca="1" si="4"/>
        <v>0</v>
      </c>
      <c r="L32" s="677">
        <f t="shared" ca="1" si="5"/>
        <v>0</v>
      </c>
      <c r="M32" s="677">
        <f t="shared" ca="1" si="6"/>
        <v>0</v>
      </c>
    </row>
    <row r="33" spans="1:13" ht="22.5" customHeight="1">
      <c r="A33" s="675">
        <f ca="1">IF(ROWS($1:18)&gt;COUNT(Dong9),"",OFFSET(TH!C$1,SMALL(Dong9,ROWS($1:18)),))</f>
        <v>41743</v>
      </c>
      <c r="B33" s="675" t="str">
        <f ca="1">IF(ROWS($1:18)&gt;COUNT(Dong9),"",OFFSET(TH!D$1,SMALL(Dong9,ROWS($1:18)),))</f>
        <v>NL/X</v>
      </c>
      <c r="C33" s="675">
        <f ca="1">IF(ROWS($1:18)&gt;COUNT(Dong9),"",OFFSET(TH!E$1,SMALL(Dong9,ROWS($1:18)),))</f>
        <v>41743</v>
      </c>
      <c r="D33" s="676" t="str">
        <f ca="1">IF(ROWS($1:18)&gt;COUNT(Dong9),"",OFFSET(TH!F$1,SMALL(Dong9,ROWS($1:18)),))</f>
        <v>Giấy tấm 135x225</v>
      </c>
      <c r="E33" s="675" t="str">
        <f ca="1">IF(ROWS($1:18)&gt;COUNT(Dong9),"",OFFSET(TH!M$1,SMALL(Dong9,ROWS($1:18)),))</f>
        <v>1521</v>
      </c>
      <c r="F33" s="677">
        <f ca="1">IF(ROWS($1:18)&gt;COUNT(Dong9),"",OFFSET(TH!K$1,SMALL(Dong9,ROWS($1:18)),))</f>
        <v>7047200</v>
      </c>
      <c r="G33" s="677">
        <f t="shared" ca="1" si="0"/>
        <v>7047200</v>
      </c>
      <c r="H33" s="677">
        <f t="shared" ca="1" si="1"/>
        <v>0</v>
      </c>
      <c r="I33" s="677">
        <f t="shared" ca="1" si="2"/>
        <v>0</v>
      </c>
      <c r="J33" s="677">
        <f t="shared" ca="1" si="3"/>
        <v>0</v>
      </c>
      <c r="K33" s="677">
        <f t="shared" ca="1" si="4"/>
        <v>0</v>
      </c>
      <c r="L33" s="677">
        <f t="shared" ca="1" si="5"/>
        <v>0</v>
      </c>
      <c r="M33" s="677">
        <f t="shared" ca="1" si="6"/>
        <v>0</v>
      </c>
    </row>
    <row r="34" spans="1:13" ht="22.5" customHeight="1">
      <c r="A34" s="675"/>
      <c r="B34" s="678"/>
      <c r="C34" s="675"/>
      <c r="D34" s="679"/>
      <c r="E34" s="680"/>
      <c r="F34" s="681"/>
      <c r="G34" s="681"/>
      <c r="H34" s="681"/>
      <c r="I34" s="681"/>
      <c r="J34" s="681"/>
      <c r="K34" s="681"/>
      <c r="L34" s="681"/>
      <c r="M34" s="681"/>
    </row>
    <row r="35" spans="1:13" ht="22.5" customHeight="1">
      <c r="A35" s="675"/>
      <c r="B35" s="678"/>
      <c r="C35" s="675"/>
      <c r="D35" s="673" t="s">
        <v>133</v>
      </c>
      <c r="E35" s="672" t="s">
        <v>19</v>
      </c>
      <c r="F35" s="674">
        <f t="shared" ref="F35:M35" ca="1" si="7">SUM(F15:F34)</f>
        <v>79734217</v>
      </c>
      <c r="G35" s="674">
        <f t="shared" ca="1" si="7"/>
        <v>22399217</v>
      </c>
      <c r="H35" s="674">
        <f t="shared" ca="1" si="7"/>
        <v>2915000</v>
      </c>
      <c r="I35" s="674">
        <f t="shared" ca="1" si="7"/>
        <v>20690000</v>
      </c>
      <c r="J35" s="674">
        <f t="shared" ca="1" si="7"/>
        <v>15480000</v>
      </c>
      <c r="K35" s="674">
        <f t="shared" ca="1" si="7"/>
        <v>0</v>
      </c>
      <c r="L35" s="674">
        <f t="shared" ca="1" si="7"/>
        <v>0</v>
      </c>
      <c r="M35" s="674">
        <f t="shared" ca="1" si="7"/>
        <v>18250000</v>
      </c>
    </row>
    <row r="36" spans="1:13" ht="22.5" customHeight="1">
      <c r="A36" s="682"/>
      <c r="B36" s="680"/>
      <c r="C36" s="682"/>
      <c r="D36" s="683" t="s">
        <v>388</v>
      </c>
      <c r="E36" s="678"/>
      <c r="F36" s="684">
        <f ca="1">SUM(G36:M36)</f>
        <v>79734217</v>
      </c>
      <c r="G36" s="684">
        <f t="shared" ref="G36:M36" ca="1" si="8">G35</f>
        <v>22399217</v>
      </c>
      <c r="H36" s="684">
        <f t="shared" ca="1" si="8"/>
        <v>2915000</v>
      </c>
      <c r="I36" s="684">
        <f t="shared" ref="I36" ca="1" si="9">I35</f>
        <v>20690000</v>
      </c>
      <c r="J36" s="684">
        <f t="shared" ca="1" si="8"/>
        <v>15480000</v>
      </c>
      <c r="K36" s="684">
        <f t="shared" ca="1" si="8"/>
        <v>0</v>
      </c>
      <c r="L36" s="684">
        <f t="shared" ref="L36" ca="1" si="10">L35</f>
        <v>0</v>
      </c>
      <c r="M36" s="684">
        <f t="shared" ca="1" si="8"/>
        <v>18250000</v>
      </c>
    </row>
    <row r="37" spans="1:13" ht="22.5" customHeight="1">
      <c r="A37" s="685"/>
      <c r="B37" s="685"/>
      <c r="C37" s="685"/>
      <c r="D37" s="686" t="s">
        <v>10</v>
      </c>
      <c r="E37" s="685" t="s">
        <v>19</v>
      </c>
      <c r="F37" s="687">
        <f t="shared" ref="F37:M37" ca="1" si="11">F15+F35-F36</f>
        <v>0</v>
      </c>
      <c r="G37" s="687">
        <f t="shared" ca="1" si="11"/>
        <v>0</v>
      </c>
      <c r="H37" s="687">
        <f t="shared" ca="1" si="11"/>
        <v>0</v>
      </c>
      <c r="I37" s="687">
        <f t="shared" ca="1" si="11"/>
        <v>0</v>
      </c>
      <c r="J37" s="687">
        <f t="shared" ca="1" si="11"/>
        <v>0</v>
      </c>
      <c r="K37" s="687">
        <f t="shared" ca="1" si="11"/>
        <v>0</v>
      </c>
      <c r="L37" s="687">
        <f t="shared" ca="1" si="11"/>
        <v>0</v>
      </c>
      <c r="M37" s="687">
        <f t="shared" ca="1" si="11"/>
        <v>0</v>
      </c>
    </row>
    <row r="39" spans="1:13">
      <c r="B39" s="688"/>
      <c r="C39" s="668" t="s">
        <v>389</v>
      </c>
    </row>
    <row r="40" spans="1:13">
      <c r="C40" s="668" t="str">
        <f ca="1">"Ngày mở sổ: "&amp;"01/"&amp;MONTH(A16)&amp;"/ "&amp;YEAR(A16)</f>
        <v>Ngày mở sổ: 01/4/ 2014</v>
      </c>
    </row>
    <row r="41" spans="1:13">
      <c r="E41" s="667"/>
      <c r="F41" s="667"/>
      <c r="G41" s="667"/>
      <c r="H41" s="667"/>
      <c r="I41" s="667"/>
      <c r="J41" s="117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72"/>
      <c r="L41" s="1172"/>
      <c r="M41" s="1172"/>
    </row>
    <row r="42" spans="1:13">
      <c r="B42" s="667"/>
      <c r="C42" s="664" t="s">
        <v>11</v>
      </c>
      <c r="D42" s="667"/>
      <c r="E42" s="667"/>
      <c r="F42" s="667"/>
      <c r="G42" s="667"/>
      <c r="H42" s="667"/>
      <c r="I42" s="667"/>
      <c r="J42" s="1172" t="s">
        <v>12</v>
      </c>
      <c r="K42" s="1172"/>
      <c r="L42" s="1172"/>
      <c r="M42" s="1172"/>
    </row>
    <row r="43" spans="1:13">
      <c r="B43" s="667"/>
      <c r="C43" s="664" t="s">
        <v>13</v>
      </c>
      <c r="D43" s="667"/>
      <c r="E43" s="667"/>
      <c r="F43" s="667"/>
      <c r="G43" s="667"/>
      <c r="H43" s="667"/>
      <c r="I43" s="667"/>
      <c r="J43" s="667"/>
      <c r="K43" s="667" t="s">
        <v>13</v>
      </c>
      <c r="L43" s="667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31.85546875" style="664" customWidth="1"/>
    <col min="5" max="5" width="10.28515625" style="664" customWidth="1"/>
    <col min="6" max="6" width="15.28515625" style="664" customWidth="1"/>
    <col min="7" max="7" width="9.42578125" style="664" customWidth="1"/>
    <col min="8" max="8" width="15.140625" style="664" customWidth="1"/>
    <col min="9" max="9" width="9.140625" style="664"/>
    <col min="10" max="10" width="16.28515625" style="664" customWidth="1"/>
    <col min="11" max="11" width="6" style="664" customWidth="1"/>
    <col min="12" max="16384" width="9.140625" style="664"/>
  </cols>
  <sheetData>
    <row r="2" spans="1:13">
      <c r="A2" s="663" t="str">
        <f>'154'!A2</f>
        <v>Đơn vị: CÔNG TY TNHH SX TM KIM DUNG PHÁT</v>
      </c>
      <c r="F2" s="665"/>
      <c r="G2" s="1168" t="s">
        <v>376</v>
      </c>
      <c r="H2" s="1168"/>
      <c r="I2" s="1168"/>
      <c r="J2" s="1168"/>
    </row>
    <row r="3" spans="1:13" ht="15" customHeight="1">
      <c r="A3" s="693" t="str">
        <f>'154'!A3</f>
        <v>Địa chỉ: 1A227/1 Ấp 1, Phạm Văn Hai, Bình Chánh, TPHCM</v>
      </c>
      <c r="G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71"/>
      <c r="I3" s="1171"/>
      <c r="J3" s="1171"/>
    </row>
    <row r="4" spans="1:13">
      <c r="G4" s="1171"/>
      <c r="H4" s="1171"/>
      <c r="I4" s="1171"/>
      <c r="J4" s="1171"/>
    </row>
    <row r="5" spans="1:13" ht="27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666" t="s">
        <v>175</v>
      </c>
      <c r="L5" s="597">
        <f>IF(L13="Quý I",1,IF(L13="Quý II",4,IF(L13="Quý III",7,IF(L13="Quý IV",10,""))))</f>
        <v>4</v>
      </c>
      <c r="M5" s="597">
        <f>IF(L13="Quý I",3,IF(L13="Quý II",6,IF(L13="Quý III",9,IF(L13="Quý IV",12,""))))</f>
        <v>6</v>
      </c>
    </row>
    <row r="6" spans="1:13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</row>
    <row r="7" spans="1:13">
      <c r="B7" s="667"/>
      <c r="C7" s="667"/>
      <c r="D7" s="667"/>
      <c r="E7" s="668" t="s">
        <v>390</v>
      </c>
      <c r="G7" s="667"/>
      <c r="H7" s="667"/>
      <c r="I7" s="667"/>
      <c r="J7" s="667"/>
    </row>
    <row r="8" spans="1:13">
      <c r="B8" s="667"/>
      <c r="C8" s="667"/>
      <c r="D8" s="667"/>
      <c r="E8" s="668" t="s">
        <v>380</v>
      </c>
      <c r="G8" s="667"/>
      <c r="H8" s="667"/>
      <c r="I8" s="667"/>
      <c r="J8" s="667"/>
    </row>
    <row r="9" spans="1:13">
      <c r="B9" s="669"/>
      <c r="C9" s="669"/>
      <c r="D9" s="669"/>
      <c r="E9" s="668" t="s">
        <v>381</v>
      </c>
      <c r="G9" s="669"/>
      <c r="H9" s="669"/>
      <c r="I9" s="669"/>
      <c r="J9" s="669"/>
    </row>
    <row r="10" spans="1:13" ht="9.75" customHeight="1">
      <c r="C10" s="1167"/>
      <c r="D10" s="1167"/>
      <c r="E10" s="1167"/>
      <c r="F10" s="1167"/>
      <c r="G10" s="1167"/>
      <c r="H10" s="1167"/>
      <c r="I10" s="1167"/>
      <c r="J10" s="1167"/>
    </row>
    <row r="11" spans="1:13" ht="15.75" customHeight="1">
      <c r="A11" s="1173" t="s">
        <v>20</v>
      </c>
      <c r="B11" s="1174" t="s">
        <v>1</v>
      </c>
      <c r="C11" s="1174"/>
      <c r="D11" s="1173" t="s">
        <v>0</v>
      </c>
      <c r="E11" s="1173" t="s">
        <v>219</v>
      </c>
      <c r="F11" s="1174" t="s">
        <v>391</v>
      </c>
      <c r="G11" s="1174"/>
      <c r="H11" s="1174"/>
      <c r="I11" s="1174"/>
      <c r="J11" s="1174"/>
    </row>
    <row r="12" spans="1:13" ht="15.75" customHeight="1" thickBot="1">
      <c r="A12" s="1173"/>
      <c r="B12" s="1175" t="s">
        <v>15</v>
      </c>
      <c r="C12" s="1175" t="s">
        <v>32</v>
      </c>
      <c r="D12" s="1173"/>
      <c r="E12" s="1173"/>
      <c r="F12" s="1175" t="s">
        <v>383</v>
      </c>
      <c r="G12" s="1175" t="s">
        <v>384</v>
      </c>
      <c r="H12" s="1175"/>
      <c r="I12" s="1175"/>
      <c r="J12" s="1175"/>
    </row>
    <row r="13" spans="1:13" ht="30.75" customHeight="1" thickBot="1">
      <c r="A13" s="1173"/>
      <c r="B13" s="1175"/>
      <c r="C13" s="1175"/>
      <c r="D13" s="1173"/>
      <c r="E13" s="1173"/>
      <c r="F13" s="1175"/>
      <c r="G13" s="670">
        <v>154</v>
      </c>
      <c r="H13" s="670">
        <v>155</v>
      </c>
      <c r="I13" s="670">
        <v>156</v>
      </c>
      <c r="J13" s="670">
        <v>157</v>
      </c>
      <c r="L13" s="692" t="s">
        <v>348</v>
      </c>
    </row>
    <row r="14" spans="1:13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</row>
    <row r="15" spans="1:13" ht="20.2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</row>
    <row r="16" spans="1:13" ht="20.25" customHeight="1">
      <c r="A16" s="675">
        <f ca="1">IF(ROWS($1:1)&gt;COUNT(Dong8),"",OFFSET(TH!C$1,SMALL(Dong8,ROWS($1:1)),))</f>
        <v>41730</v>
      </c>
      <c r="B16" s="675" t="str">
        <f ca="1">IF(ROWS($1:1)&gt;COUNT(Dong8),"",OFFSET(TH!D$1,SMALL(Dong8,ROWS($1:1)),))</f>
        <v>TP/X</v>
      </c>
      <c r="C16" s="675">
        <f ca="1">IF(ROWS($1:1)&gt;COUNT(Dong8),"",OFFSET(TH!E$1,SMALL(Dong8,ROWS($1:1)),))</f>
        <v>41730</v>
      </c>
      <c r="D16" s="676" t="str">
        <f ca="1">IF(ROWS($1:1)&gt;COUNT(Dong8),"",OFFSET(TH!F$1,SMALL(Dong8,ROWS($1:1)),))</f>
        <v>Thùng (49,5x38,5x32,5)</v>
      </c>
      <c r="E16" s="675" t="str">
        <f ca="1">IF(ROWS($1:1)&gt;COUNT(Dong8),"",OFFSET(TH!M$1,SMALL(Dong8,ROWS($1:1)),))</f>
        <v>155</v>
      </c>
      <c r="F16" s="677">
        <f ca="1">IF(ROWS($1:1)&gt;COUNT(Dong8),"",OFFSET(TH!K$1,SMALL(Dong8,ROWS($1:1)),))</f>
        <v>3808747</v>
      </c>
      <c r="G16" s="677">
        <f ca="1">IF($E16="154",$F16,0)</f>
        <v>0</v>
      </c>
      <c r="H16" s="677">
        <f ca="1">IF($E16="155",$F16,0)</f>
        <v>3808747</v>
      </c>
      <c r="I16" s="677">
        <f ca="1">IF($E16="156",$F16,0)</f>
        <v>0</v>
      </c>
      <c r="J16" s="677">
        <f ca="1">IF($E16="157",$F16,0)</f>
        <v>0</v>
      </c>
    </row>
    <row r="17" spans="1:10" ht="20.25" customHeight="1">
      <c r="A17" s="675">
        <f ca="1">IF(ROWS($1:2)&gt;COUNT(Dong8),"",OFFSET(TH!C$1,SMALL(Dong8,ROWS($1:2)),))</f>
        <v>41730</v>
      </c>
      <c r="B17" s="675" t="str">
        <f ca="1">IF(ROWS($1:2)&gt;COUNT(Dong8),"",OFFSET(TH!D$1,SMALL(Dong8,ROWS($1:2)),))</f>
        <v>TP/X</v>
      </c>
      <c r="C17" s="675">
        <f ca="1">IF(ROWS($1:2)&gt;COUNT(Dong8),"",OFFSET(TH!E$1,SMALL(Dong8,ROWS($1:2)),))</f>
        <v>41730</v>
      </c>
      <c r="D17" s="676" t="str">
        <f ca="1">IF(ROWS($1:2)&gt;COUNT(Dong8),"",OFFSET(TH!F$1,SMALL(Dong8,ROWS($1:2)),))</f>
        <v>Thùng (32,5x23,5x16)</v>
      </c>
      <c r="E17" s="675" t="str">
        <f ca="1">IF(ROWS($1:2)&gt;COUNT(Dong8),"",OFFSET(TH!M$1,SMALL(Dong8,ROWS($1:2)),))</f>
        <v>155</v>
      </c>
      <c r="F17" s="677">
        <f ca="1">IF(ROWS($1:2)&gt;COUNT(Dong8),"",OFFSET(TH!K$1,SMALL(Dong8,ROWS($1:2)),))</f>
        <v>1976980</v>
      </c>
      <c r="G17" s="677">
        <f t="shared" ref="G17:G20" ca="1" si="0">IF($E17="154",$F17,0)</f>
        <v>0</v>
      </c>
      <c r="H17" s="677">
        <f t="shared" ref="H17:H20" ca="1" si="1">IF($E17="155",$F17,0)</f>
        <v>1976980</v>
      </c>
      <c r="I17" s="677">
        <f t="shared" ref="I17:I20" ca="1" si="2">IF($E17="156",$F17,0)</f>
        <v>0</v>
      </c>
      <c r="J17" s="677">
        <f t="shared" ref="J17:J20" ca="1" si="3">IF($E17="157",$F17,0)</f>
        <v>0</v>
      </c>
    </row>
    <row r="18" spans="1:10" ht="20.25" customHeight="1">
      <c r="A18" s="675">
        <f ca="1">IF(ROWS($1:3)&gt;COUNT(Dong8),"",OFFSET(TH!C$1,SMALL(Dong8,ROWS($1:3)),))</f>
        <v>41730</v>
      </c>
      <c r="B18" s="675" t="str">
        <f ca="1">IF(ROWS($1:3)&gt;COUNT(Dong8),"",OFFSET(TH!D$1,SMALL(Dong8,ROWS($1:3)),))</f>
        <v>TP/X</v>
      </c>
      <c r="C18" s="675">
        <f ca="1">IF(ROWS($1:3)&gt;COUNT(Dong8),"",OFFSET(TH!E$1,SMALL(Dong8,ROWS($1:3)),))</f>
        <v>41730</v>
      </c>
      <c r="D18" s="676" t="str">
        <f ca="1">IF(ROWS($1:3)&gt;COUNT(Dong8),"",OFFSET(TH!F$1,SMALL(Dong8,ROWS($1:3)),))</f>
        <v>Thùng (41x31x25,5)</v>
      </c>
      <c r="E18" s="675" t="str">
        <f ca="1">IF(ROWS($1:3)&gt;COUNT(Dong8),"",OFFSET(TH!M$1,SMALL(Dong8,ROWS($1:3)),))</f>
        <v>155</v>
      </c>
      <c r="F18" s="677">
        <f ca="1">IF(ROWS($1:3)&gt;COUNT(Dong8),"",OFFSET(TH!K$1,SMALL(Dong8,ROWS($1:3)),))</f>
        <v>3888441</v>
      </c>
      <c r="G18" s="677">
        <f t="shared" ca="1" si="0"/>
        <v>0</v>
      </c>
      <c r="H18" s="677">
        <f t="shared" ca="1" si="1"/>
        <v>3888441</v>
      </c>
      <c r="I18" s="677">
        <f t="shared" ca="1" si="2"/>
        <v>0</v>
      </c>
      <c r="J18" s="677">
        <f t="shared" ca="1" si="3"/>
        <v>0</v>
      </c>
    </row>
    <row r="19" spans="1:10" ht="20.25" customHeight="1">
      <c r="A19" s="675">
        <f ca="1">IF(ROWS($1:4)&gt;COUNT(Dong8),"",OFFSET(TH!C$1,SMALL(Dong8,ROWS($1:4)),))</f>
        <v>41730</v>
      </c>
      <c r="B19" s="675" t="str">
        <f ca="1">IF(ROWS($1:4)&gt;COUNT(Dong8),"",OFFSET(TH!D$1,SMALL(Dong8,ROWS($1:4)),))</f>
        <v>TP/X</v>
      </c>
      <c r="C19" s="675">
        <f ca="1">IF(ROWS($1:4)&gt;COUNT(Dong8),"",OFFSET(TH!E$1,SMALL(Dong8,ROWS($1:4)),))</f>
        <v>41730</v>
      </c>
      <c r="D19" s="676" t="str">
        <f ca="1">IF(ROWS($1:4)&gt;COUNT(Dong8),"",OFFSET(TH!F$1,SMALL(Dong8,ROWS($1:4)),))</f>
        <v>Thùng (43x27,5x33)</v>
      </c>
      <c r="E19" s="675" t="str">
        <f ca="1">IF(ROWS($1:4)&gt;COUNT(Dong8),"",OFFSET(TH!M$1,SMALL(Dong8,ROWS($1:4)),))</f>
        <v>155</v>
      </c>
      <c r="F19" s="677">
        <f ca="1">IF(ROWS($1:4)&gt;COUNT(Dong8),"",OFFSET(TH!K$1,SMALL(Dong8,ROWS($1:4)),))</f>
        <v>3708789</v>
      </c>
      <c r="G19" s="677">
        <f t="shared" ca="1" si="0"/>
        <v>0</v>
      </c>
      <c r="H19" s="677">
        <f t="shared" ca="1" si="1"/>
        <v>3708789</v>
      </c>
      <c r="I19" s="677">
        <f t="shared" ca="1" si="2"/>
        <v>0</v>
      </c>
      <c r="J19" s="677">
        <f t="shared" ca="1" si="3"/>
        <v>0</v>
      </c>
    </row>
    <row r="20" spans="1:10" ht="20.25" customHeight="1">
      <c r="A20" s="675">
        <f ca="1">IF(ROWS($1:5)&gt;COUNT(Dong8),"",OFFSET(TH!C$1,SMALL(Dong8,ROWS($1:5)),))</f>
        <v>41730</v>
      </c>
      <c r="B20" s="675" t="str">
        <f ca="1">IF(ROWS($1:5)&gt;COUNT(Dong8),"",OFFSET(TH!D$1,SMALL(Dong8,ROWS($1:5)),))</f>
        <v>TP/X</v>
      </c>
      <c r="C20" s="675">
        <f ca="1">IF(ROWS($1:5)&gt;COUNT(Dong8),"",OFFSET(TH!E$1,SMALL(Dong8,ROWS($1:5)),))</f>
        <v>41730</v>
      </c>
      <c r="D20" s="676" t="str">
        <f ca="1">IF(ROWS($1:5)&gt;COUNT(Dong8),"",OFFSET(TH!F$1,SMALL(Dong8,ROWS($1:5)),))</f>
        <v>Thùng (40x33x51,5)</v>
      </c>
      <c r="E20" s="675" t="str">
        <f ca="1">IF(ROWS($1:5)&gt;COUNT(Dong8),"",OFFSET(TH!M$1,SMALL(Dong8,ROWS($1:5)),))</f>
        <v>155</v>
      </c>
      <c r="F20" s="677">
        <f ca="1">IF(ROWS($1:5)&gt;COUNT(Dong8),"",OFFSET(TH!K$1,SMALL(Dong8,ROWS($1:5)),))</f>
        <v>3580888</v>
      </c>
      <c r="G20" s="677">
        <f t="shared" ca="1" si="0"/>
        <v>0</v>
      </c>
      <c r="H20" s="677">
        <f t="shared" ca="1" si="1"/>
        <v>3580888</v>
      </c>
      <c r="I20" s="677">
        <f t="shared" ca="1" si="2"/>
        <v>0</v>
      </c>
      <c r="J20" s="677">
        <f t="shared" ca="1" si="3"/>
        <v>0</v>
      </c>
    </row>
    <row r="21" spans="1:10" ht="20.25" customHeight="1">
      <c r="A21" s="675"/>
      <c r="B21" s="678"/>
      <c r="C21" s="675"/>
      <c r="D21" s="679"/>
      <c r="E21" s="680"/>
      <c r="F21" s="681"/>
      <c r="G21" s="681"/>
      <c r="H21" s="681"/>
      <c r="I21" s="681"/>
      <c r="J21" s="681"/>
    </row>
    <row r="22" spans="1:10" ht="20.25" customHeight="1">
      <c r="A22" s="675"/>
      <c r="B22" s="678"/>
      <c r="C22" s="675"/>
      <c r="D22" s="673" t="s">
        <v>133</v>
      </c>
      <c r="E22" s="672" t="s">
        <v>19</v>
      </c>
      <c r="F22" s="674">
        <f ca="1">SUM(F15:F21)</f>
        <v>16963845</v>
      </c>
      <c r="G22" s="674">
        <f ca="1">SUM(G15:G21)</f>
        <v>0</v>
      </c>
      <c r="H22" s="674">
        <f ca="1">SUM(H15:H21)</f>
        <v>16963845</v>
      </c>
      <c r="I22" s="674">
        <f ca="1">SUM(I15:I21)</f>
        <v>0</v>
      </c>
      <c r="J22" s="674">
        <f ca="1">SUM(J15:J21)</f>
        <v>0</v>
      </c>
    </row>
    <row r="23" spans="1:10" ht="20.25" customHeight="1">
      <c r="A23" s="682"/>
      <c r="B23" s="680"/>
      <c r="C23" s="682"/>
      <c r="D23" s="683" t="s">
        <v>392</v>
      </c>
      <c r="E23" s="678"/>
      <c r="F23" s="684">
        <f ca="1">SUM(G23:J23)</f>
        <v>16963845</v>
      </c>
      <c r="G23" s="684">
        <f ca="1">G22</f>
        <v>0</v>
      </c>
      <c r="H23" s="684">
        <f ca="1">H22</f>
        <v>16963845</v>
      </c>
      <c r="I23" s="684">
        <f ca="1">I22</f>
        <v>0</v>
      </c>
      <c r="J23" s="684">
        <f ca="1">J22</f>
        <v>0</v>
      </c>
    </row>
    <row r="24" spans="1:10" ht="20.25" customHeight="1">
      <c r="A24" s="685"/>
      <c r="B24" s="685"/>
      <c r="C24" s="685"/>
      <c r="D24" s="686" t="s">
        <v>10</v>
      </c>
      <c r="E24" s="685" t="s">
        <v>19</v>
      </c>
      <c r="F24" s="687">
        <f ca="1">F15+F22-F23</f>
        <v>0</v>
      </c>
      <c r="G24" s="687">
        <f ca="1">G15+G22-G23</f>
        <v>0</v>
      </c>
      <c r="H24" s="687">
        <f ca="1">H15+H22-H23</f>
        <v>0</v>
      </c>
      <c r="I24" s="687">
        <f ca="1">I15+I22-I23</f>
        <v>0</v>
      </c>
      <c r="J24" s="687">
        <f ca="1">J15+J22-J23</f>
        <v>0</v>
      </c>
    </row>
    <row r="26" spans="1:10">
      <c r="B26" s="688"/>
      <c r="C26" s="668" t="s">
        <v>393</v>
      </c>
    </row>
    <row r="27" spans="1:10">
      <c r="C27" s="668" t="str">
        <f ca="1">"- Ngày mở sổ: "&amp;"01/"&amp;MONTH(A16)&amp;"/ "&amp;YEAR(A16)</f>
        <v>- Ngày mở sổ: 01/4/ 2014</v>
      </c>
    </row>
    <row r="28" spans="1:10">
      <c r="E28" s="667"/>
      <c r="F28" s="667"/>
      <c r="G28" s="667"/>
      <c r="H28" s="667"/>
      <c r="I28" s="1172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72"/>
    </row>
    <row r="29" spans="1:10">
      <c r="B29" s="667"/>
      <c r="C29" s="664" t="s">
        <v>11</v>
      </c>
      <c r="D29" s="667"/>
      <c r="E29" s="667"/>
      <c r="F29" s="667"/>
      <c r="G29" s="667"/>
      <c r="H29" s="667"/>
      <c r="I29" s="1172" t="s">
        <v>12</v>
      </c>
      <c r="J29" s="1172"/>
    </row>
    <row r="30" spans="1:10">
      <c r="B30" s="667"/>
      <c r="C30" s="664" t="s">
        <v>13</v>
      </c>
      <c r="D30" s="667"/>
      <c r="E30" s="667"/>
      <c r="F30" s="667"/>
      <c r="G30" s="667"/>
      <c r="H30" s="667"/>
      <c r="I30" s="667"/>
      <c r="J30" s="667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4" customWidth="1"/>
    <col min="3" max="3" width="8.5703125" style="664" customWidth="1"/>
    <col min="4" max="4" width="51.42578125" style="664" customWidth="1"/>
    <col min="5" max="5" width="8" style="664" customWidth="1"/>
    <col min="6" max="6" width="12.28515625" style="664" bestFit="1" customWidth="1"/>
    <col min="7" max="7" width="10.140625" style="664" customWidth="1"/>
    <col min="8" max="8" width="10.7109375" style="664" customWidth="1"/>
    <col min="9" max="9" width="11.42578125" style="664" customWidth="1"/>
    <col min="10" max="10" width="11.5703125" style="664" customWidth="1"/>
    <col min="11" max="11" width="11.42578125" style="664" customWidth="1"/>
    <col min="12" max="12" width="9.42578125" style="664" customWidth="1"/>
    <col min="13" max="13" width="6.7109375" style="664" customWidth="1"/>
    <col min="14" max="16384" width="9.140625" style="664"/>
  </cols>
  <sheetData>
    <row r="2" spans="1:15">
      <c r="A2" s="663" t="str">
        <f>'632'!A2</f>
        <v>Đơn vị: CÔNG TY TNHH SX TM KIM DUNG PHÁT</v>
      </c>
      <c r="F2" s="665"/>
      <c r="G2" s="665"/>
      <c r="H2" s="1168" t="s">
        <v>376</v>
      </c>
      <c r="I2" s="1168"/>
      <c r="J2" s="1168"/>
      <c r="K2" s="1168"/>
      <c r="L2" s="689"/>
    </row>
    <row r="3" spans="1:15" ht="15" customHeight="1">
      <c r="A3" s="693" t="str">
        <f>'632'!A3</f>
        <v>Địa chỉ: 1A227/1 Ấp 1, Phạm Văn Hai, Bình Chánh, TPHCM</v>
      </c>
      <c r="H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71"/>
      <c r="J3" s="1171"/>
      <c r="K3" s="1171"/>
      <c r="L3" s="667"/>
    </row>
    <row r="4" spans="1:15">
      <c r="H4" s="1171"/>
      <c r="I4" s="1171"/>
      <c r="J4" s="1171"/>
      <c r="K4" s="1171"/>
      <c r="L4" s="667"/>
    </row>
    <row r="5" spans="1:15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666" t="s">
        <v>83</v>
      </c>
      <c r="N5" s="597">
        <f>IF(N13="Quý I",1,IF(N13="Quý II",4,IF(N13="Quý III",7,IF(N13="Quý IV",10,""))))</f>
        <v>4</v>
      </c>
      <c r="O5" s="597">
        <f>IF(N13="Quý I",3,IF(N13="Quý II",6,IF(N13="Quý III",9,IF(N13="Quý IV",12,""))))</f>
        <v>6</v>
      </c>
    </row>
    <row r="6" spans="1:15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</row>
    <row r="7" spans="1:15">
      <c r="B7" s="667"/>
      <c r="C7" s="667"/>
      <c r="D7" s="667"/>
      <c r="E7" s="668" t="s">
        <v>394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</row>
    <row r="10" spans="1:15" ht="9" customHeight="1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</row>
    <row r="11" spans="1:15" ht="15.75" customHeight="1">
      <c r="A11" s="1173" t="s">
        <v>20</v>
      </c>
      <c r="B11" s="1174" t="s">
        <v>1</v>
      </c>
      <c r="C11" s="1174"/>
      <c r="D11" s="1173" t="s">
        <v>0</v>
      </c>
      <c r="E11" s="1173" t="s">
        <v>219</v>
      </c>
      <c r="F11" s="1174" t="s">
        <v>395</v>
      </c>
      <c r="G11" s="1174"/>
      <c r="H11" s="1174"/>
      <c r="I11" s="1174"/>
      <c r="J11" s="1174"/>
      <c r="K11" s="1174"/>
      <c r="L11" s="1174"/>
    </row>
    <row r="12" spans="1:15" ht="15.75" customHeight="1" thickBot="1">
      <c r="A12" s="1173"/>
      <c r="B12" s="1175" t="s">
        <v>15</v>
      </c>
      <c r="C12" s="1175" t="s">
        <v>32</v>
      </c>
      <c r="D12" s="1173"/>
      <c r="E12" s="1173"/>
      <c r="F12" s="1175" t="s">
        <v>383</v>
      </c>
      <c r="G12" s="1175" t="s">
        <v>384</v>
      </c>
      <c r="H12" s="1175"/>
      <c r="I12" s="1175"/>
      <c r="J12" s="1175"/>
      <c r="K12" s="1175"/>
      <c r="L12" s="1175"/>
    </row>
    <row r="13" spans="1:15" ht="29.25" customHeight="1" thickBot="1">
      <c r="A13" s="1173"/>
      <c r="B13" s="1175"/>
      <c r="C13" s="1175"/>
      <c r="D13" s="1173"/>
      <c r="E13" s="1173"/>
      <c r="F13" s="1175"/>
      <c r="G13" s="690" t="s">
        <v>47</v>
      </c>
      <c r="H13" s="690" t="s">
        <v>24</v>
      </c>
      <c r="I13" s="690" t="s">
        <v>63</v>
      </c>
      <c r="J13" s="690" t="s">
        <v>256</v>
      </c>
      <c r="K13" s="690"/>
      <c r="L13" s="690"/>
      <c r="N13" s="692" t="s">
        <v>348</v>
      </c>
    </row>
    <row r="14" spans="1:15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  <c r="K14" s="671">
        <v>6</v>
      </c>
      <c r="L14" s="67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>
        <f ca="1">IF(ROWS($1:1)&gt;COUNT(Dong7),"",OFFSET(TH!C$1,SMALL(Dong7,ROWS($1:1)),))</f>
        <v>41759</v>
      </c>
      <c r="B16" s="675" t="str">
        <f ca="1">IF(ROWS($1:1)&gt;COUNT(Dong7),"",OFFSET(TH!D$1,SMALL(Dong7,ROWS($1:1)),))</f>
        <v>CTGS</v>
      </c>
      <c r="C16" s="675">
        <f ca="1">IF(ROWS($1:1)&gt;COUNT(Dong7),"",OFFSET(TH!E$1,SMALL(Dong7,ROWS($1:1)),))</f>
        <v>41759</v>
      </c>
      <c r="D16" s="676" t="str">
        <f ca="1">IF(ROWS($1:1)&gt;COUNT(Dong7),"",OFFSET(TH!F$1,SMALL(Dong7,ROWS($1:1)),))</f>
        <v>Tiền lương BP Văn phòng</v>
      </c>
      <c r="E16" s="675" t="str">
        <f ca="1">IF(ROWS($1:1)&gt;COUNT(Dong7),"",OFFSET(TH!M$1,SMALL(Dong7,ROWS($1:1)),))</f>
        <v>3341</v>
      </c>
      <c r="F16" s="677">
        <f ca="1">IF(ROWS($1:1)&gt;COUNT(Dong7),"",OFFSET(TH!K$1,SMALL(Dong7,ROWS($1:1)),))</f>
        <v>5850000</v>
      </c>
      <c r="G16" s="677">
        <f t="shared" ref="G16:J30" ca="1" si="0">IF($E16=G$13,$F16,0)</f>
        <v>0</v>
      </c>
      <c r="H16" s="677">
        <f t="shared" ca="1" si="0"/>
        <v>0</v>
      </c>
      <c r="I16" s="677">
        <f t="shared" ca="1" si="0"/>
        <v>0</v>
      </c>
      <c r="J16" s="677">
        <f t="shared" ca="1" si="0"/>
        <v>5850000</v>
      </c>
      <c r="K16" s="677">
        <f ca="1">IF(LEFT($E16,3)=K$13,$F16,0)</f>
        <v>0</v>
      </c>
      <c r="L16" s="677">
        <f ca="1">IF(LEFT($E16,3)=L$13,$F16,0)</f>
        <v>0</v>
      </c>
    </row>
    <row r="17" spans="1:12" ht="21.75" customHeight="1">
      <c r="A17" s="675">
        <f ca="1">IF(ROWS($1:2)&gt;COUNT(Dong7),"",OFFSET(TH!C$1,SMALL(Dong7,ROWS($1:2)),))</f>
        <v>41790</v>
      </c>
      <c r="B17" s="675" t="str">
        <f ca="1">IF(ROWS($1:2)&gt;COUNT(Dong7),"",OFFSET(TH!D$1,SMALL(Dong7,ROWS($1:2)),))</f>
        <v>CTGS</v>
      </c>
      <c r="C17" s="675">
        <f ca="1">IF(ROWS($1:2)&gt;COUNT(Dong7),"",OFFSET(TH!E$1,SMALL(Dong7,ROWS($1:2)),))</f>
        <v>41790</v>
      </c>
      <c r="D17" s="676" t="str">
        <f ca="1">IF(ROWS($1:2)&gt;COUNT(Dong7),"",OFFSET(TH!F$1,SMALL(Dong7,ROWS($1:2)),))</f>
        <v>Tiền lương BP Văn phòng</v>
      </c>
      <c r="E17" s="675" t="str">
        <f ca="1">IF(ROWS($1:2)&gt;COUNT(Dong7),"",OFFSET(TH!M$1,SMALL(Dong7,ROWS($1:2)),))</f>
        <v>3341</v>
      </c>
      <c r="F17" s="677">
        <f ca="1">IF(ROWS($1:2)&gt;COUNT(Dong7),"",OFFSET(TH!K$1,SMALL(Dong7,ROWS($1:2)),))</f>
        <v>5880000</v>
      </c>
      <c r="G17" s="677">
        <f t="shared" ca="1" si="0"/>
        <v>0</v>
      </c>
      <c r="H17" s="677">
        <f t="shared" ca="1" si="0"/>
        <v>0</v>
      </c>
      <c r="I17" s="677">
        <f t="shared" ca="1" si="0"/>
        <v>0</v>
      </c>
      <c r="J17" s="677">
        <f t="shared" ca="1" si="0"/>
        <v>5880000</v>
      </c>
      <c r="K17" s="677">
        <f t="shared" ref="K17:L30" ca="1" si="1">IF(LEFT($E17,3)=K$13,$F17,0)</f>
        <v>0</v>
      </c>
      <c r="L17" s="677">
        <f t="shared" ca="1" si="1"/>
        <v>0</v>
      </c>
    </row>
    <row r="18" spans="1:12" ht="21.75" customHeight="1">
      <c r="A18" s="675">
        <f ca="1">IF(ROWS($1:3)&gt;COUNT(Dong7),"",OFFSET(TH!C$1,SMALL(Dong7,ROWS($1:3)),))</f>
        <v>41820</v>
      </c>
      <c r="B18" s="675" t="str">
        <f ca="1">IF(ROWS($1:3)&gt;COUNT(Dong7),"",OFFSET(TH!D$1,SMALL(Dong7,ROWS($1:3)),))</f>
        <v>CTGS</v>
      </c>
      <c r="C18" s="675">
        <f ca="1">IF(ROWS($1:3)&gt;COUNT(Dong7),"",OFFSET(TH!E$1,SMALL(Dong7,ROWS($1:3)),))</f>
        <v>41820</v>
      </c>
      <c r="D18" s="676" t="str">
        <f ca="1">IF(ROWS($1:3)&gt;COUNT(Dong7),"",OFFSET(TH!F$1,SMALL(Dong7,ROWS($1:3)),))</f>
        <v>Tiền lương BP Văn phòng</v>
      </c>
      <c r="E18" s="675" t="str">
        <f ca="1">IF(ROWS($1:3)&gt;COUNT(Dong7),"",OFFSET(TH!M$1,SMALL(Dong7,ROWS($1:3)),))</f>
        <v>3341</v>
      </c>
      <c r="F18" s="677">
        <f ca="1">IF(ROWS($1:3)&gt;COUNT(Dong7),"",OFFSET(TH!K$1,SMALL(Dong7,ROWS($1:3)),))</f>
        <v>5850000</v>
      </c>
      <c r="G18" s="677">
        <f t="shared" ca="1" si="0"/>
        <v>0</v>
      </c>
      <c r="H18" s="677">
        <f t="shared" ca="1" si="0"/>
        <v>0</v>
      </c>
      <c r="I18" s="677">
        <f t="shared" ca="1" si="0"/>
        <v>0</v>
      </c>
      <c r="J18" s="677">
        <f t="shared" ca="1" si="0"/>
        <v>5850000</v>
      </c>
      <c r="K18" s="677">
        <f t="shared" ca="1" si="1"/>
        <v>0</v>
      </c>
      <c r="L18" s="677">
        <f t="shared" ca="1" si="1"/>
        <v>0</v>
      </c>
    </row>
    <row r="19" spans="1:12" ht="21.75" customHeight="1">
      <c r="A19" s="675">
        <f ca="1">IF(ROWS($1:4)&gt;COUNT(Dong7),"",OFFSET(TH!C$1,SMALL(Dong7,ROWS($1:4)),))</f>
        <v>41731</v>
      </c>
      <c r="B19" s="675" t="str">
        <f ca="1">IF(ROWS($1:4)&gt;COUNT(Dong7),"",OFFSET(TH!D$1,SMALL(Dong7,ROWS($1:4)),))</f>
        <v>GBN</v>
      </c>
      <c r="C19" s="675">
        <f ca="1">IF(ROWS($1:4)&gt;COUNT(Dong7),"",OFFSET(TH!E$1,SMALL(Dong7,ROWS($1:4)),))</f>
        <v>41731</v>
      </c>
      <c r="D19" s="676" t="str">
        <f ca="1">IF(ROWS($1:4)&gt;COUNT(Dong7),"",OFFSET(TH!F$1,SMALL(Dong7,ROWS($1:4)),))</f>
        <v>Phí chuyển tiền</v>
      </c>
      <c r="E19" s="675" t="str">
        <f ca="1">IF(ROWS($1:4)&gt;COUNT(Dong7),"",OFFSET(TH!M$1,SMALL(Dong7,ROWS($1:4)),))</f>
        <v>1121</v>
      </c>
      <c r="F19" s="677">
        <f ca="1">IF(ROWS($1:4)&gt;COUNT(Dong7),"",OFFSET(TH!K$1,SMALL(Dong7,ROWS($1:4)),))</f>
        <v>15000</v>
      </c>
      <c r="G19" s="677">
        <f t="shared" ca="1" si="0"/>
        <v>0</v>
      </c>
      <c r="H19" s="677">
        <f t="shared" ca="1" si="0"/>
        <v>15000</v>
      </c>
      <c r="I19" s="677">
        <f t="shared" ca="1" si="0"/>
        <v>0</v>
      </c>
      <c r="J19" s="677">
        <f t="shared" ca="1" si="0"/>
        <v>0</v>
      </c>
      <c r="K19" s="677">
        <f t="shared" ca="1" si="1"/>
        <v>0</v>
      </c>
      <c r="L19" s="677">
        <f t="shared" ca="1" si="1"/>
        <v>0</v>
      </c>
    </row>
    <row r="20" spans="1:12" ht="21.75" customHeight="1">
      <c r="A20" s="675">
        <f ca="1">IF(ROWS($1:5)&gt;COUNT(Dong7),"",OFFSET(TH!C$1,SMALL(Dong7,ROWS($1:5)),))</f>
        <v>41810</v>
      </c>
      <c r="B20" s="675" t="str">
        <f ca="1">IF(ROWS($1:5)&gt;COUNT(Dong7),"",OFFSET(TH!D$1,SMALL(Dong7,ROWS($1:5)),))</f>
        <v>GBN</v>
      </c>
      <c r="C20" s="675">
        <f ca="1">IF(ROWS($1:5)&gt;COUNT(Dong7),"",OFFSET(TH!E$1,SMALL(Dong7,ROWS($1:5)),))</f>
        <v>41810</v>
      </c>
      <c r="D20" s="676" t="str">
        <f ca="1">IF(ROWS($1:5)&gt;COUNT(Dong7),"",OFFSET(TH!F$1,SMALL(Dong7,ROWS($1:5)),))</f>
        <v>Phí chuyển tiền</v>
      </c>
      <c r="E20" s="675" t="str">
        <f ca="1">IF(ROWS($1:5)&gt;COUNT(Dong7),"",OFFSET(TH!M$1,SMALL(Dong7,ROWS($1:5)),))</f>
        <v>1121</v>
      </c>
      <c r="F20" s="677">
        <f ca="1">IF(ROWS($1:5)&gt;COUNT(Dong7),"",OFFSET(TH!K$1,SMALL(Dong7,ROWS($1:5)),))</f>
        <v>15000</v>
      </c>
      <c r="G20" s="677">
        <f t="shared" ca="1" si="0"/>
        <v>0</v>
      </c>
      <c r="H20" s="677">
        <f t="shared" ca="1" si="0"/>
        <v>15000</v>
      </c>
      <c r="I20" s="677">
        <f t="shared" ca="1" si="0"/>
        <v>0</v>
      </c>
      <c r="J20" s="677">
        <f t="shared" ca="1" si="0"/>
        <v>0</v>
      </c>
      <c r="K20" s="677">
        <f t="shared" ca="1" si="1"/>
        <v>0</v>
      </c>
      <c r="L20" s="677">
        <f t="shared" ca="1" si="1"/>
        <v>0</v>
      </c>
    </row>
    <row r="21" spans="1:12" ht="21.75" customHeight="1">
      <c r="A21" s="675">
        <f ca="1">IF(ROWS($1:6)&gt;COUNT(Dong7),"",OFFSET(TH!C$1,SMALL(Dong7,ROWS($1:6)),))</f>
        <v>41810</v>
      </c>
      <c r="B21" s="675" t="str">
        <f ca="1">IF(ROWS($1:6)&gt;COUNT(Dong7),"",OFFSET(TH!D$1,SMALL(Dong7,ROWS($1:6)),))</f>
        <v>GBN</v>
      </c>
      <c r="C21" s="675">
        <f ca="1">IF(ROWS($1:6)&gt;COUNT(Dong7),"",OFFSET(TH!E$1,SMALL(Dong7,ROWS($1:6)),))</f>
        <v>41810</v>
      </c>
      <c r="D21" s="676" t="str">
        <f ca="1">IF(ROWS($1:6)&gt;COUNT(Dong7),"",OFFSET(TH!F$1,SMALL(Dong7,ROWS($1:6)),))</f>
        <v>Phí chuyển tiền</v>
      </c>
      <c r="E21" s="675" t="str">
        <f ca="1">IF(ROWS($1:6)&gt;COUNT(Dong7),"",OFFSET(TH!M$1,SMALL(Dong7,ROWS($1:6)),))</f>
        <v>1121</v>
      </c>
      <c r="F21" s="677">
        <f ca="1">IF(ROWS($1:6)&gt;COUNT(Dong7),"",OFFSET(TH!K$1,SMALL(Dong7,ROWS($1:6)),))</f>
        <v>15000</v>
      </c>
      <c r="G21" s="677">
        <f t="shared" ca="1" si="0"/>
        <v>0</v>
      </c>
      <c r="H21" s="677">
        <f t="shared" ca="1" si="0"/>
        <v>15000</v>
      </c>
      <c r="I21" s="677">
        <f t="shared" ca="1" si="0"/>
        <v>0</v>
      </c>
      <c r="J21" s="677">
        <f t="shared" ca="1" si="0"/>
        <v>0</v>
      </c>
      <c r="K21" s="677">
        <f t="shared" ca="1" si="1"/>
        <v>0</v>
      </c>
      <c r="L21" s="677">
        <f t="shared" ca="1" si="1"/>
        <v>0</v>
      </c>
    </row>
    <row r="22" spans="1:12" ht="21.75" customHeight="1">
      <c r="A22" s="675">
        <f ca="1">IF(ROWS($1:7)&gt;COUNT(Dong7),"",OFFSET(TH!C$1,SMALL(Dong7,ROWS($1:7)),))</f>
        <v>41814</v>
      </c>
      <c r="B22" s="675" t="str">
        <f ca="1">IF(ROWS($1:7)&gt;COUNT(Dong7),"",OFFSET(TH!D$1,SMALL(Dong7,ROWS($1:7)),))</f>
        <v>GBN</v>
      </c>
      <c r="C22" s="675">
        <f ca="1">IF(ROWS($1:7)&gt;COUNT(Dong7),"",OFFSET(TH!E$1,SMALL(Dong7,ROWS($1:7)),))</f>
        <v>41814</v>
      </c>
      <c r="D22" s="676" t="str">
        <f ca="1">IF(ROWS($1:7)&gt;COUNT(Dong7),"",OFFSET(TH!F$1,SMALL(Dong7,ROWS($1:7)),))</f>
        <v>Phí chuyển tiền</v>
      </c>
      <c r="E22" s="675" t="str">
        <f ca="1">IF(ROWS($1:7)&gt;COUNT(Dong7),"",OFFSET(TH!M$1,SMALL(Dong7,ROWS($1:7)),))</f>
        <v>1121</v>
      </c>
      <c r="F22" s="677">
        <f ca="1">IF(ROWS($1:7)&gt;COUNT(Dong7),"",OFFSET(TH!K$1,SMALL(Dong7,ROWS($1:7)),))</f>
        <v>15000</v>
      </c>
      <c r="G22" s="677">
        <f t="shared" ca="1" si="0"/>
        <v>0</v>
      </c>
      <c r="H22" s="677">
        <f t="shared" ca="1" si="0"/>
        <v>15000</v>
      </c>
      <c r="I22" s="677">
        <f t="shared" ca="1" si="0"/>
        <v>0</v>
      </c>
      <c r="J22" s="677">
        <f t="shared" ca="1" si="0"/>
        <v>0</v>
      </c>
      <c r="K22" s="677">
        <f t="shared" ca="1" si="1"/>
        <v>0</v>
      </c>
      <c r="L22" s="677">
        <f t="shared" ca="1" si="1"/>
        <v>0</v>
      </c>
    </row>
    <row r="23" spans="1:12" ht="21.75" customHeight="1">
      <c r="A23" s="675">
        <f ca="1">IF(ROWS($1:8)&gt;COUNT(Dong7),"",OFFSET(TH!C$1,SMALL(Dong7,ROWS($1:8)),))</f>
        <v>41814</v>
      </c>
      <c r="B23" s="675" t="str">
        <f ca="1">IF(ROWS($1:8)&gt;COUNT(Dong7),"",OFFSET(TH!D$1,SMALL(Dong7,ROWS($1:8)),))</f>
        <v>GBN</v>
      </c>
      <c r="C23" s="675">
        <f ca="1">IF(ROWS($1:8)&gt;COUNT(Dong7),"",OFFSET(TH!E$1,SMALL(Dong7,ROWS($1:8)),))</f>
        <v>41814</v>
      </c>
      <c r="D23" s="676" t="str">
        <f ca="1">IF(ROWS($1:8)&gt;COUNT(Dong7),"",OFFSET(TH!F$1,SMALL(Dong7,ROWS($1:8)),))</f>
        <v>Phí chuyển tiền</v>
      </c>
      <c r="E23" s="675" t="str">
        <f ca="1">IF(ROWS($1:8)&gt;COUNT(Dong7),"",OFFSET(TH!M$1,SMALL(Dong7,ROWS($1:8)),))</f>
        <v>1121</v>
      </c>
      <c r="F23" s="677">
        <f ca="1">IF(ROWS($1:8)&gt;COUNT(Dong7),"",OFFSET(TH!K$1,SMALL(Dong7,ROWS($1:8)),))</f>
        <v>15000</v>
      </c>
      <c r="G23" s="677">
        <f t="shared" ca="1" si="0"/>
        <v>0</v>
      </c>
      <c r="H23" s="677">
        <f t="shared" ca="1" si="0"/>
        <v>15000</v>
      </c>
      <c r="I23" s="677">
        <f t="shared" ca="1" si="0"/>
        <v>0</v>
      </c>
      <c r="J23" s="677">
        <f t="shared" ca="1" si="0"/>
        <v>0</v>
      </c>
      <c r="K23" s="677">
        <f t="shared" ca="1" si="1"/>
        <v>0</v>
      </c>
      <c r="L23" s="677">
        <f t="shared" ca="1" si="1"/>
        <v>0</v>
      </c>
    </row>
    <row r="24" spans="1:12" ht="21.75" customHeight="1">
      <c r="A24" s="675">
        <f ca="1">IF(ROWS($1:9)&gt;COUNT(Dong7),"",OFFSET(TH!C$1,SMALL(Dong7,ROWS($1:9)),))</f>
        <v>41814</v>
      </c>
      <c r="B24" s="675" t="str">
        <f ca="1">IF(ROWS($1:9)&gt;COUNT(Dong7),"",OFFSET(TH!D$1,SMALL(Dong7,ROWS($1:9)),))</f>
        <v>GBN</v>
      </c>
      <c r="C24" s="675">
        <f ca="1">IF(ROWS($1:9)&gt;COUNT(Dong7),"",OFFSET(TH!E$1,SMALL(Dong7,ROWS($1:9)),))</f>
        <v>41814</v>
      </c>
      <c r="D24" s="676" t="str">
        <f ca="1">IF(ROWS($1:9)&gt;COUNT(Dong7),"",OFFSET(TH!F$1,SMALL(Dong7,ROWS($1:9)),))</f>
        <v>Phí kiểm đếm</v>
      </c>
      <c r="E24" s="675" t="str">
        <f ca="1">IF(ROWS($1:9)&gt;COUNT(Dong7),"",OFFSET(TH!M$1,SMALL(Dong7,ROWS($1:9)),))</f>
        <v>1121</v>
      </c>
      <c r="F24" s="677">
        <f ca="1">IF(ROWS($1:9)&gt;COUNT(Dong7),"",OFFSET(TH!K$1,SMALL(Dong7,ROWS($1:9)),))</f>
        <v>15000</v>
      </c>
      <c r="G24" s="677">
        <f t="shared" ca="1" si="0"/>
        <v>0</v>
      </c>
      <c r="H24" s="677">
        <f t="shared" ca="1" si="0"/>
        <v>15000</v>
      </c>
      <c r="I24" s="677">
        <f t="shared" ca="1" si="0"/>
        <v>0</v>
      </c>
      <c r="J24" s="677">
        <f t="shared" ca="1" si="0"/>
        <v>0</v>
      </c>
      <c r="K24" s="677">
        <f t="shared" ca="1" si="1"/>
        <v>0</v>
      </c>
      <c r="L24" s="677">
        <f t="shared" ca="1" si="1"/>
        <v>0</v>
      </c>
    </row>
    <row r="25" spans="1:12" ht="21.75" customHeight="1">
      <c r="A25" s="675">
        <f ca="1">IF(ROWS($1:10)&gt;COUNT(Dong7),"",OFFSET(TH!C$1,SMALL(Dong7,ROWS($1:10)),))</f>
        <v>41747</v>
      </c>
      <c r="B25" s="675">
        <f ca="1">IF(ROWS($1:10)&gt;COUNT(Dong7),"",OFFSET(TH!D$1,SMALL(Dong7,ROWS($1:10)),))</f>
        <v>0</v>
      </c>
      <c r="C25" s="675">
        <f ca="1">IF(ROWS($1:10)&gt;COUNT(Dong7),"",OFFSET(TH!E$1,SMALL(Dong7,ROWS($1:10)),))</f>
        <v>41747</v>
      </c>
      <c r="D25" s="676" t="str">
        <f ca="1">IF(ROWS($1:10)&gt;COUNT(Dong7),"",OFFSET(TH!F$1,SMALL(Dong7,ROWS($1:10)),))</f>
        <v>Cước viễn thông</v>
      </c>
      <c r="E25" s="675" t="str">
        <f ca="1">IF(ROWS($1:10)&gt;COUNT(Dong7),"",OFFSET(TH!M$1,SMALL(Dong7,ROWS($1:10)),))</f>
        <v>1111</v>
      </c>
      <c r="F25" s="677">
        <f ca="1">IF(ROWS($1:10)&gt;COUNT(Dong7),"",OFFSET(TH!K$1,SMALL(Dong7,ROWS($1:10)),))</f>
        <v>1957106</v>
      </c>
      <c r="G25" s="677">
        <f t="shared" ca="1" si="0"/>
        <v>1957106</v>
      </c>
      <c r="H25" s="677">
        <f t="shared" ca="1" si="0"/>
        <v>0</v>
      </c>
      <c r="I25" s="677">
        <f t="shared" ca="1" si="0"/>
        <v>0</v>
      </c>
      <c r="J25" s="677">
        <f t="shared" ca="1" si="0"/>
        <v>0</v>
      </c>
      <c r="K25" s="677">
        <f t="shared" ca="1" si="1"/>
        <v>0</v>
      </c>
      <c r="L25" s="677">
        <f t="shared" ca="1" si="1"/>
        <v>0</v>
      </c>
    </row>
    <row r="26" spans="1:12" ht="21.75" customHeight="1">
      <c r="A26" s="675">
        <f ca="1">IF(ROWS($1:11)&gt;COUNT(Dong7),"",OFFSET(TH!C$1,SMALL(Dong7,ROWS($1:11)),))</f>
        <v>41748</v>
      </c>
      <c r="B26" s="675">
        <f ca="1">IF(ROWS($1:11)&gt;COUNT(Dong7),"",OFFSET(TH!D$1,SMALL(Dong7,ROWS($1:11)),))</f>
        <v>0</v>
      </c>
      <c r="C26" s="675">
        <f ca="1">IF(ROWS($1:11)&gt;COUNT(Dong7),"",OFFSET(TH!E$1,SMALL(Dong7,ROWS($1:11)),))</f>
        <v>41748</v>
      </c>
      <c r="D26" s="676" t="str">
        <f ca="1">IF(ROWS($1:11)&gt;COUNT(Dong7),"",OFFSET(TH!F$1,SMALL(Dong7,ROWS($1:11)),))</f>
        <v>Văn phòng phẩm</v>
      </c>
      <c r="E26" s="675" t="str">
        <f ca="1">IF(ROWS($1:11)&gt;COUNT(Dong7),"",OFFSET(TH!M$1,SMALL(Dong7,ROWS($1:11)),))</f>
        <v>1111</v>
      </c>
      <c r="F26" s="677">
        <f ca="1">IF(ROWS($1:11)&gt;COUNT(Dong7),"",OFFSET(TH!K$1,SMALL(Dong7,ROWS($1:11)),))</f>
        <v>845909</v>
      </c>
      <c r="G26" s="677">
        <f t="shared" ca="1" si="0"/>
        <v>845909</v>
      </c>
      <c r="H26" s="677">
        <f t="shared" ca="1" si="0"/>
        <v>0</v>
      </c>
      <c r="I26" s="677">
        <f t="shared" ca="1" si="0"/>
        <v>0</v>
      </c>
      <c r="J26" s="677">
        <f t="shared" ca="1" si="0"/>
        <v>0</v>
      </c>
      <c r="K26" s="677">
        <f t="shared" ca="1" si="1"/>
        <v>0</v>
      </c>
      <c r="L26" s="677">
        <f t="shared" ca="1" si="1"/>
        <v>0</v>
      </c>
    </row>
    <row r="27" spans="1:12" ht="21.75" customHeight="1">
      <c r="A27" s="675">
        <f ca="1">IF(ROWS($1:12)&gt;COUNT(Dong7),"",OFFSET(TH!C$1,SMALL(Dong7,ROWS($1:12)),))</f>
        <v>41753</v>
      </c>
      <c r="B27" s="675">
        <f ca="1">IF(ROWS($1:12)&gt;COUNT(Dong7),"",OFFSET(TH!D$1,SMALL(Dong7,ROWS($1:12)),))</f>
        <v>0</v>
      </c>
      <c r="C27" s="675">
        <f ca="1">IF(ROWS($1:12)&gt;COUNT(Dong7),"",OFFSET(TH!E$1,SMALL(Dong7,ROWS($1:12)),))</f>
        <v>41753</v>
      </c>
      <c r="D27" s="676" t="str">
        <f ca="1">IF(ROWS($1:12)&gt;COUNT(Dong7),"",OFFSET(TH!F$1,SMALL(Dong7,ROWS($1:12)),))</f>
        <v>Tiền điện</v>
      </c>
      <c r="E27" s="675" t="str">
        <f ca="1">IF(ROWS($1:12)&gt;COUNT(Dong7),"",OFFSET(TH!M$1,SMALL(Dong7,ROWS($1:12)),))</f>
        <v>1111</v>
      </c>
      <c r="F27" s="677">
        <f ca="1">IF(ROWS($1:12)&gt;COUNT(Dong7),"",OFFSET(TH!K$1,SMALL(Dong7,ROWS($1:12)),))</f>
        <v>1301956</v>
      </c>
      <c r="G27" s="677">
        <f t="shared" ca="1" si="0"/>
        <v>1301956</v>
      </c>
      <c r="H27" s="677">
        <f t="shared" ca="1" si="0"/>
        <v>0</v>
      </c>
      <c r="I27" s="677">
        <f t="shared" ca="1" si="0"/>
        <v>0</v>
      </c>
      <c r="J27" s="677">
        <f t="shared" ca="1" si="0"/>
        <v>0</v>
      </c>
      <c r="K27" s="677">
        <f t="shared" ca="1" si="1"/>
        <v>0</v>
      </c>
      <c r="L27" s="677">
        <f t="shared" ca="1" si="1"/>
        <v>0</v>
      </c>
    </row>
    <row r="28" spans="1:12" ht="21.75" customHeight="1">
      <c r="A28" s="675">
        <f ca="1">IF(ROWS($1:13)&gt;COUNT(Dong7),"",OFFSET(TH!C$1,SMALL(Dong7,ROWS($1:13)),))</f>
        <v>41755</v>
      </c>
      <c r="B28" s="675">
        <f ca="1">IF(ROWS($1:13)&gt;COUNT(Dong7),"",OFFSET(TH!D$1,SMALL(Dong7,ROWS($1:13)),))</f>
        <v>0</v>
      </c>
      <c r="C28" s="675">
        <f ca="1">IF(ROWS($1:13)&gt;COUNT(Dong7),"",OFFSET(TH!E$1,SMALL(Dong7,ROWS($1:13)),))</f>
        <v>41755</v>
      </c>
      <c r="D28" s="676" t="str">
        <f ca="1">IF(ROWS($1:13)&gt;COUNT(Dong7),"",OFFSET(TH!F$1,SMALL(Dong7,ROWS($1:13)),))</f>
        <v>Xe nâng tay</v>
      </c>
      <c r="E28" s="675" t="str">
        <f ca="1">IF(ROWS($1:13)&gt;COUNT(Dong7),"",OFFSET(TH!M$1,SMALL(Dong7,ROWS($1:13)),))</f>
        <v>1111</v>
      </c>
      <c r="F28" s="677">
        <f ca="1">IF(ROWS($1:13)&gt;COUNT(Dong7),"",OFFSET(TH!K$1,SMALL(Dong7,ROWS($1:13)),))</f>
        <v>3300000</v>
      </c>
      <c r="G28" s="677">
        <f t="shared" ca="1" si="0"/>
        <v>3300000</v>
      </c>
      <c r="H28" s="677">
        <f t="shared" ca="1" si="0"/>
        <v>0</v>
      </c>
      <c r="I28" s="677">
        <f t="shared" ca="1" si="0"/>
        <v>0</v>
      </c>
      <c r="J28" s="677">
        <f t="shared" ca="1" si="0"/>
        <v>0</v>
      </c>
      <c r="K28" s="677">
        <f t="shared" ca="1" si="1"/>
        <v>0</v>
      </c>
      <c r="L28" s="677">
        <f t="shared" ca="1" si="1"/>
        <v>0</v>
      </c>
    </row>
    <row r="29" spans="1:12" ht="21.75" customHeight="1">
      <c r="A29" s="675">
        <f ca="1">IF(ROWS($1:14)&gt;COUNT(Dong7),"",OFFSET(TH!C$1,SMALL(Dong7,ROWS($1:14)),))</f>
        <v>41783</v>
      </c>
      <c r="B29" s="675">
        <f ca="1">IF(ROWS($1:14)&gt;COUNT(Dong7),"",OFFSET(TH!D$1,SMALL(Dong7,ROWS($1:14)),))</f>
        <v>0</v>
      </c>
      <c r="C29" s="675">
        <f ca="1">IF(ROWS($1:14)&gt;COUNT(Dong7),"",OFFSET(TH!E$1,SMALL(Dong7,ROWS($1:14)),))</f>
        <v>41783</v>
      </c>
      <c r="D29" s="676" t="str">
        <f ca="1">IF(ROWS($1:14)&gt;COUNT(Dong7),"",OFFSET(TH!F$1,SMALL(Dong7,ROWS($1:14)),))</f>
        <v>Tiền điện</v>
      </c>
      <c r="E29" s="675" t="str">
        <f ca="1">IF(ROWS($1:14)&gt;COUNT(Dong7),"",OFFSET(TH!M$1,SMALL(Dong7,ROWS($1:14)),))</f>
        <v>1111</v>
      </c>
      <c r="F29" s="677">
        <f ca="1">IF(ROWS($1:14)&gt;COUNT(Dong7),"",OFFSET(TH!K$1,SMALL(Dong7,ROWS($1:14)),))</f>
        <v>756428</v>
      </c>
      <c r="G29" s="677">
        <f t="shared" ca="1" si="0"/>
        <v>756428</v>
      </c>
      <c r="H29" s="677">
        <f t="shared" ca="1" si="0"/>
        <v>0</v>
      </c>
      <c r="I29" s="677">
        <f t="shared" ca="1" si="0"/>
        <v>0</v>
      </c>
      <c r="J29" s="677">
        <f t="shared" ca="1" si="0"/>
        <v>0</v>
      </c>
      <c r="K29" s="677">
        <f t="shared" ca="1" si="1"/>
        <v>0</v>
      </c>
      <c r="L29" s="677">
        <f t="shared" ca="1" si="1"/>
        <v>0</v>
      </c>
    </row>
    <row r="30" spans="1:12" ht="21.75" customHeight="1">
      <c r="A30" s="675">
        <f ca="1">IF(ROWS($1:15)&gt;COUNT(Dong7),"",OFFSET(TH!C$1,SMALL(Dong7,ROWS($1:15)),))</f>
        <v>41796</v>
      </c>
      <c r="B30" s="675">
        <f ca="1">IF(ROWS($1:15)&gt;COUNT(Dong7),"",OFFSET(TH!D$1,SMALL(Dong7,ROWS($1:15)),))</f>
        <v>0</v>
      </c>
      <c r="C30" s="675">
        <f ca="1">IF(ROWS($1:15)&gt;COUNT(Dong7),"",OFFSET(TH!E$1,SMALL(Dong7,ROWS($1:15)),))</f>
        <v>41796</v>
      </c>
      <c r="D30" s="676" t="str">
        <f ca="1">IF(ROWS($1:15)&gt;COUNT(Dong7),"",OFFSET(TH!F$1,SMALL(Dong7,ROWS($1:15)),))</f>
        <v>Cân điện tử</v>
      </c>
      <c r="E30" s="675" t="str">
        <f ca="1">IF(ROWS($1:15)&gt;COUNT(Dong7),"",OFFSET(TH!M$1,SMALL(Dong7,ROWS($1:15)),))</f>
        <v>1111</v>
      </c>
      <c r="F30" s="677">
        <f ca="1">IF(ROWS($1:15)&gt;COUNT(Dong7),"",OFFSET(TH!K$1,SMALL(Dong7,ROWS($1:15)),))</f>
        <v>2500000</v>
      </c>
      <c r="G30" s="677">
        <f t="shared" ca="1" si="0"/>
        <v>2500000</v>
      </c>
      <c r="H30" s="677">
        <f t="shared" ca="1" si="0"/>
        <v>0</v>
      </c>
      <c r="I30" s="677">
        <f t="shared" ca="1" si="0"/>
        <v>0</v>
      </c>
      <c r="J30" s="677">
        <f t="shared" ca="1" si="0"/>
        <v>0</v>
      </c>
      <c r="K30" s="677">
        <f t="shared" ca="1" si="1"/>
        <v>0</v>
      </c>
      <c r="L30" s="677">
        <f t="shared" ca="1" si="1"/>
        <v>0</v>
      </c>
    </row>
    <row r="31" spans="1:12" ht="21.75" customHeight="1">
      <c r="A31" s="675"/>
      <c r="B31" s="678"/>
      <c r="C31" s="675"/>
      <c r="D31" s="679"/>
      <c r="E31" s="680"/>
      <c r="F31" s="681"/>
      <c r="G31" s="681"/>
      <c r="H31" s="681"/>
      <c r="I31" s="681"/>
      <c r="J31" s="681"/>
      <c r="K31" s="681"/>
      <c r="L31" s="681"/>
    </row>
    <row r="32" spans="1:12" ht="21.75" customHeight="1">
      <c r="A32" s="675"/>
      <c r="B32" s="678"/>
      <c r="C32" s="675"/>
      <c r="D32" s="673" t="s">
        <v>133</v>
      </c>
      <c r="E32" s="672" t="s">
        <v>19</v>
      </c>
      <c r="F32" s="674">
        <f ca="1">SUM(F15:F31)</f>
        <v>28331399</v>
      </c>
      <c r="G32" s="674">
        <f t="shared" ref="G32:L32" ca="1" si="2">SUM(G15:G31)</f>
        <v>10661399</v>
      </c>
      <c r="H32" s="674">
        <f t="shared" ca="1" si="2"/>
        <v>90000</v>
      </c>
      <c r="I32" s="674">
        <f t="shared" ca="1" si="2"/>
        <v>0</v>
      </c>
      <c r="J32" s="674">
        <f t="shared" ca="1" si="2"/>
        <v>17580000</v>
      </c>
      <c r="K32" s="674">
        <f t="shared" ca="1" si="2"/>
        <v>0</v>
      </c>
      <c r="L32" s="674">
        <f t="shared" ca="1" si="2"/>
        <v>0</v>
      </c>
    </row>
    <row r="33" spans="1:12" ht="21.75" customHeight="1">
      <c r="A33" s="682"/>
      <c r="B33" s="680"/>
      <c r="C33" s="682"/>
      <c r="D33" s="683" t="s">
        <v>396</v>
      </c>
      <c r="E33" s="678"/>
      <c r="F33" s="684">
        <f ca="1">SUM(G33:L33)</f>
        <v>28331399</v>
      </c>
      <c r="G33" s="684">
        <f t="shared" ref="G33:L33" ca="1" si="3">G32</f>
        <v>10661399</v>
      </c>
      <c r="H33" s="684">
        <f t="shared" ca="1" si="3"/>
        <v>90000</v>
      </c>
      <c r="I33" s="684">
        <f t="shared" ca="1" si="3"/>
        <v>0</v>
      </c>
      <c r="J33" s="684">
        <f t="shared" ca="1" si="3"/>
        <v>17580000</v>
      </c>
      <c r="K33" s="684">
        <f t="shared" ca="1" si="3"/>
        <v>0</v>
      </c>
      <c r="L33" s="684">
        <f t="shared" ca="1" si="3"/>
        <v>0</v>
      </c>
    </row>
    <row r="34" spans="1:12" ht="21.75" customHeight="1">
      <c r="A34" s="685"/>
      <c r="B34" s="685"/>
      <c r="C34" s="685"/>
      <c r="D34" s="686" t="s">
        <v>10</v>
      </c>
      <c r="E34" s="685" t="s">
        <v>19</v>
      </c>
      <c r="F34" s="687">
        <f t="shared" ref="F34:L34" ca="1" si="4">F15+F32-F33</f>
        <v>0</v>
      </c>
      <c r="G34" s="687">
        <f t="shared" ca="1" si="4"/>
        <v>0</v>
      </c>
      <c r="H34" s="687">
        <f t="shared" ca="1" si="4"/>
        <v>0</v>
      </c>
      <c r="I34" s="687">
        <f t="shared" ca="1" si="4"/>
        <v>0</v>
      </c>
      <c r="J34" s="687">
        <f t="shared" ca="1" si="4"/>
        <v>0</v>
      </c>
      <c r="K34" s="687">
        <f t="shared" ca="1" si="4"/>
        <v>0</v>
      </c>
      <c r="L34" s="687">
        <f t="shared" ca="1" si="4"/>
        <v>0</v>
      </c>
    </row>
    <row r="36" spans="1:12">
      <c r="B36" s="688"/>
      <c r="C36" s="668" t="s">
        <v>389</v>
      </c>
    </row>
    <row r="37" spans="1:12">
      <c r="C37" s="668" t="str">
        <f ca="1">"- Ngày mở sổ: "&amp;"01/"&amp;MONTH(A16)&amp;"/"&amp;YEAR(A16)</f>
        <v>- Ngày mở sổ: 01/4/2014</v>
      </c>
    </row>
    <row r="38" spans="1:12">
      <c r="E38" s="667"/>
      <c r="F38" s="667"/>
      <c r="G38" s="667"/>
      <c r="H38" s="667"/>
      <c r="I38" s="667"/>
      <c r="J38" s="117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72"/>
      <c r="L38" s="1172"/>
    </row>
    <row r="39" spans="1:12">
      <c r="B39" s="667"/>
      <c r="C39" s="664" t="s">
        <v>11</v>
      </c>
      <c r="D39" s="667"/>
      <c r="E39" s="667"/>
      <c r="F39" s="667"/>
      <c r="G39" s="667"/>
      <c r="H39" s="667"/>
      <c r="I39" s="667"/>
      <c r="J39" s="1172" t="s">
        <v>12</v>
      </c>
      <c r="K39" s="1172"/>
      <c r="L39" s="1172"/>
    </row>
    <row r="40" spans="1:12">
      <c r="B40" s="667"/>
      <c r="C40" s="664" t="s">
        <v>13</v>
      </c>
      <c r="D40" s="667"/>
      <c r="E40" s="667"/>
      <c r="F40" s="667"/>
      <c r="G40" s="667"/>
      <c r="H40" s="667"/>
      <c r="I40" s="667"/>
      <c r="J40" s="1170" t="s">
        <v>13</v>
      </c>
      <c r="K40" s="1170"/>
      <c r="L40" s="1170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8" customWidth="1"/>
    <col min="3" max="3" width="8.5703125" style="758" customWidth="1"/>
    <col min="4" max="4" width="51.42578125" style="758" customWidth="1"/>
    <col min="5" max="5" width="8" style="758" customWidth="1"/>
    <col min="6" max="6" width="12.28515625" style="758" bestFit="1" customWidth="1"/>
    <col min="7" max="7" width="10.140625" style="758" customWidth="1"/>
    <col min="8" max="8" width="10.7109375" style="758" customWidth="1"/>
    <col min="9" max="9" width="11.42578125" style="758" customWidth="1"/>
    <col min="10" max="10" width="11.5703125" style="758" customWidth="1"/>
    <col min="11" max="11" width="11.42578125" style="758" customWidth="1"/>
    <col min="12" max="12" width="9.42578125" style="758" customWidth="1"/>
    <col min="13" max="13" width="6.7109375" style="758" customWidth="1"/>
    <col min="14" max="16384" width="9.140625" style="758"/>
  </cols>
  <sheetData>
    <row r="2" spans="1:15">
      <c r="A2" s="663" t="str">
        <f>'632'!A2</f>
        <v>Đơn vị: CÔNG TY TNHH SX TM KIM DUNG PHÁT</v>
      </c>
      <c r="F2" s="757"/>
      <c r="G2" s="757"/>
      <c r="H2" s="1168" t="s">
        <v>376</v>
      </c>
      <c r="I2" s="1168"/>
      <c r="J2" s="1168"/>
      <c r="K2" s="1168"/>
      <c r="L2" s="689"/>
    </row>
    <row r="3" spans="1:15" ht="15" customHeight="1">
      <c r="A3" s="693" t="str">
        <f>'632'!A3</f>
        <v>Địa chỉ: 1A227/1 Ấp 1, Phạm Văn Hai, Bình Chánh, TPHCM</v>
      </c>
      <c r="H3" s="117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1"/>
      <c r="J3" s="1171"/>
      <c r="K3" s="1171"/>
      <c r="L3" s="667"/>
    </row>
    <row r="4" spans="1:15">
      <c r="H4" s="1171"/>
      <c r="I4" s="1171"/>
      <c r="J4" s="1171"/>
      <c r="K4" s="1171"/>
      <c r="L4" s="667"/>
    </row>
    <row r="5" spans="1:15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666" t="s">
        <v>255</v>
      </c>
      <c r="N5" s="597">
        <f>IF(N13="Quý I",1,IF(N13="Quý II",4,IF(N13="Quý III",7,IF(N13="Quý IV",10,""))))</f>
        <v>7</v>
      </c>
      <c r="O5" s="597">
        <f>IF(N13="Quý I",3,IF(N13="Quý II",6,IF(N13="Quý III",9,IF(N13="Quý IV",12,""))))</f>
        <v>9</v>
      </c>
    </row>
    <row r="6" spans="1:15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</row>
    <row r="7" spans="1:15">
      <c r="B7" s="667"/>
      <c r="C7" s="667"/>
      <c r="D7" s="667"/>
      <c r="E7" s="668" t="s">
        <v>403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</row>
    <row r="10" spans="1:15" ht="9" customHeight="1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</row>
    <row r="11" spans="1:15" ht="15.75" customHeight="1">
      <c r="A11" s="1173" t="s">
        <v>20</v>
      </c>
      <c r="B11" s="1174" t="s">
        <v>1</v>
      </c>
      <c r="C11" s="1174"/>
      <c r="D11" s="1173" t="s">
        <v>0</v>
      </c>
      <c r="E11" s="1173" t="s">
        <v>219</v>
      </c>
      <c r="F11" s="1174" t="s">
        <v>402</v>
      </c>
      <c r="G11" s="1174"/>
      <c r="H11" s="1174"/>
      <c r="I11" s="1174"/>
      <c r="J11" s="1174"/>
      <c r="K11" s="1174"/>
      <c r="L11" s="1174"/>
    </row>
    <row r="12" spans="1:15" ht="15.75" customHeight="1" thickBot="1">
      <c r="A12" s="1173"/>
      <c r="B12" s="1175" t="s">
        <v>15</v>
      </c>
      <c r="C12" s="1175" t="s">
        <v>32</v>
      </c>
      <c r="D12" s="1173"/>
      <c r="E12" s="1173"/>
      <c r="F12" s="1175" t="s">
        <v>383</v>
      </c>
      <c r="G12" s="1175" t="s">
        <v>384</v>
      </c>
      <c r="H12" s="1175"/>
      <c r="I12" s="1175"/>
      <c r="J12" s="1175"/>
      <c r="K12" s="1175"/>
      <c r="L12" s="1175"/>
    </row>
    <row r="13" spans="1:15" ht="29.25" customHeight="1" thickBot="1">
      <c r="A13" s="1173"/>
      <c r="B13" s="1175"/>
      <c r="C13" s="1175"/>
      <c r="D13" s="1173"/>
      <c r="E13" s="1173"/>
      <c r="F13" s="1175"/>
      <c r="G13" s="690" t="s">
        <v>47</v>
      </c>
      <c r="H13" s="690" t="s">
        <v>24</v>
      </c>
      <c r="I13" s="690"/>
      <c r="J13" s="690"/>
      <c r="K13" s="690"/>
      <c r="L13" s="690"/>
      <c r="N13" s="692" t="s">
        <v>405</v>
      </c>
    </row>
    <row r="14" spans="1:15">
      <c r="A14" s="759" t="s">
        <v>2</v>
      </c>
      <c r="B14" s="759" t="s">
        <v>3</v>
      </c>
      <c r="C14" s="759" t="s">
        <v>4</v>
      </c>
      <c r="D14" s="759" t="s">
        <v>5</v>
      </c>
      <c r="E14" s="759" t="s">
        <v>6</v>
      </c>
      <c r="F14" s="759">
        <v>1</v>
      </c>
      <c r="G14" s="759">
        <v>2</v>
      </c>
      <c r="H14" s="759">
        <v>3</v>
      </c>
      <c r="I14" s="759">
        <v>4</v>
      </c>
      <c r="J14" s="759">
        <v>5</v>
      </c>
      <c r="K14" s="759">
        <v>6</v>
      </c>
      <c r="L14" s="759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 t="str">
        <f ca="1">IF(ROWS($1:1)&gt;COUNT(Dong13),"",OFFSET(TH!C$1,SMALL(Dong13,ROWS($1:1)),))</f>
        <v/>
      </c>
      <c r="B16" s="675" t="str">
        <f ca="1">IF(ROWS($1:1)&gt;COUNT(Dong13),"",OFFSET(TH!D$1,SMALL(Dong13,ROWS($1:1)),))</f>
        <v/>
      </c>
      <c r="C16" s="675" t="str">
        <f ca="1">IF(ROWS($1:1)&gt;COUNT(Dong13),"",OFFSET(TH!E$1,SMALL(Dong13,ROWS($1:1)),))</f>
        <v/>
      </c>
      <c r="D16" s="676" t="str">
        <f ca="1">IF(ROWS($1:1)&gt;COUNT(Dong13),"",OFFSET(TH!F$1,SMALL(Dong13,ROWS($1:1)),))</f>
        <v/>
      </c>
      <c r="E16" s="675" t="str">
        <f ca="1">IF(ROWS($1:1)&gt;COUNT(Dong13),"",OFFSET(TH!M$1,SMALL(Dong13,ROWS($1:1)),))</f>
        <v/>
      </c>
      <c r="F16" s="762" t="str">
        <f ca="1">IF(ROWS($1:1)&gt;COUNT(Dong13),"",OFFSET(TH!K$1,SMALL(Dong13,ROWS($1:1)),))</f>
        <v/>
      </c>
      <c r="G16" s="677">
        <f t="shared" ref="G16:J25" ca="1" si="0">IF($E16=G$13,$F16,0)</f>
        <v>0</v>
      </c>
      <c r="H16" s="677">
        <f t="shared" ca="1" si="0"/>
        <v>0</v>
      </c>
      <c r="I16" s="677" t="str">
        <f t="shared" ca="1" si="0"/>
        <v/>
      </c>
      <c r="J16" s="677" t="str">
        <f t="shared" ca="1" si="0"/>
        <v/>
      </c>
      <c r="K16" s="677" t="str">
        <f ca="1">IF(LEFT($E16,3)=K$13,$F16,0)</f>
        <v/>
      </c>
      <c r="L16" s="677" t="str">
        <f ca="1">IF(LEFT($E16,3)=L$13,$F16,0)</f>
        <v/>
      </c>
    </row>
    <row r="17" spans="1:12" ht="21.75" customHeight="1">
      <c r="A17" s="675" t="str">
        <f ca="1">IF(ROWS($1:2)&gt;COUNT(Dong13),"",OFFSET(TH!C$1,SMALL(Dong13,ROWS($1:2)),))</f>
        <v/>
      </c>
      <c r="B17" s="675" t="str">
        <f ca="1">IF(ROWS($1:2)&gt;COUNT(Dong13),"",OFFSET(TH!D$1,SMALL(Dong13,ROWS($1:2)),))</f>
        <v/>
      </c>
      <c r="C17" s="675" t="str">
        <f ca="1">IF(ROWS($1:2)&gt;COUNT(Dong13),"",OFFSET(TH!E$1,SMALL(Dong13,ROWS($1:2)),))</f>
        <v/>
      </c>
      <c r="D17" s="676" t="str">
        <f ca="1">IF(ROWS($1:2)&gt;COUNT(Dong13),"",OFFSET(TH!F$1,SMALL(Dong13,ROWS($1:2)),))</f>
        <v/>
      </c>
      <c r="E17" s="675" t="str">
        <f ca="1">IF(ROWS($1:2)&gt;COUNT(Dong13),"",OFFSET(TH!M$1,SMALL(Dong13,ROWS($1:2)),))</f>
        <v/>
      </c>
      <c r="F17" s="762" t="str">
        <f ca="1">IF(ROWS($1:2)&gt;COUNT(Dong13),"",OFFSET(TH!K$1,SMALL(Dong13,ROWS($1:2)),))</f>
        <v/>
      </c>
      <c r="G17" s="677">
        <f t="shared" ca="1" si="0"/>
        <v>0</v>
      </c>
      <c r="H17" s="677">
        <f t="shared" ca="1" si="0"/>
        <v>0</v>
      </c>
      <c r="I17" s="677" t="str">
        <f t="shared" ca="1" si="0"/>
        <v/>
      </c>
      <c r="J17" s="677" t="str">
        <f t="shared" ca="1" si="0"/>
        <v/>
      </c>
      <c r="K17" s="677" t="str">
        <f t="shared" ref="K17:L25" ca="1" si="1">IF(LEFT($E17,3)=K$13,$F17,0)</f>
        <v/>
      </c>
      <c r="L17" s="677" t="str">
        <f t="shared" ca="1" si="1"/>
        <v/>
      </c>
    </row>
    <row r="18" spans="1:12" ht="21.75" customHeight="1">
      <c r="A18" s="675" t="str">
        <f ca="1">IF(ROWS($1:3)&gt;COUNT(Dong13),"",OFFSET(TH!C$1,SMALL(Dong13,ROWS($1:3)),))</f>
        <v/>
      </c>
      <c r="B18" s="675" t="str">
        <f ca="1">IF(ROWS($1:3)&gt;COUNT(Dong13),"",OFFSET(TH!D$1,SMALL(Dong13,ROWS($1:3)),))</f>
        <v/>
      </c>
      <c r="C18" s="675" t="str">
        <f ca="1">IF(ROWS($1:3)&gt;COUNT(Dong13),"",OFFSET(TH!E$1,SMALL(Dong13,ROWS($1:3)),))</f>
        <v/>
      </c>
      <c r="D18" s="676" t="str">
        <f ca="1">IF(ROWS($1:3)&gt;COUNT(Dong13),"",OFFSET(TH!F$1,SMALL(Dong13,ROWS($1:3)),))</f>
        <v/>
      </c>
      <c r="E18" s="675" t="str">
        <f ca="1">IF(ROWS($1:3)&gt;COUNT(Dong13),"",OFFSET(TH!M$1,SMALL(Dong13,ROWS($1:3)),))</f>
        <v/>
      </c>
      <c r="F18" s="762" t="str">
        <f ca="1">IF(ROWS($1:3)&gt;COUNT(Dong13),"",OFFSET(TH!K$1,SMALL(Dong13,ROWS($1:3)),))</f>
        <v/>
      </c>
      <c r="G18" s="677">
        <f t="shared" ca="1" si="0"/>
        <v>0</v>
      </c>
      <c r="H18" s="677">
        <f t="shared" ca="1" si="0"/>
        <v>0</v>
      </c>
      <c r="I18" s="677" t="str">
        <f t="shared" ca="1" si="0"/>
        <v/>
      </c>
      <c r="J18" s="677" t="str">
        <f t="shared" ca="1" si="0"/>
        <v/>
      </c>
      <c r="K18" s="677" t="str">
        <f t="shared" ca="1" si="1"/>
        <v/>
      </c>
      <c r="L18" s="677" t="str">
        <f t="shared" ca="1" si="1"/>
        <v/>
      </c>
    </row>
    <row r="19" spans="1:12" ht="21.75" customHeight="1">
      <c r="A19" s="675" t="str">
        <f ca="1">IF(ROWS($1:4)&gt;COUNT(Dong13),"",OFFSET(TH!C$1,SMALL(Dong13,ROWS($1:4)),))</f>
        <v/>
      </c>
      <c r="B19" s="675" t="str">
        <f ca="1">IF(ROWS($1:4)&gt;COUNT(Dong13),"",OFFSET(TH!D$1,SMALL(Dong13,ROWS($1:4)),))</f>
        <v/>
      </c>
      <c r="C19" s="675" t="str">
        <f ca="1">IF(ROWS($1:4)&gt;COUNT(Dong13),"",OFFSET(TH!E$1,SMALL(Dong13,ROWS($1:4)),))</f>
        <v/>
      </c>
      <c r="D19" s="676" t="str">
        <f ca="1">IF(ROWS($1:4)&gt;COUNT(Dong13),"",OFFSET(TH!F$1,SMALL(Dong13,ROWS($1:4)),))</f>
        <v/>
      </c>
      <c r="E19" s="675" t="str">
        <f ca="1">IF(ROWS($1:4)&gt;COUNT(Dong13),"",OFFSET(TH!M$1,SMALL(Dong13,ROWS($1:4)),))</f>
        <v/>
      </c>
      <c r="F19" s="762" t="str">
        <f ca="1">IF(ROWS($1:4)&gt;COUNT(Dong13),"",OFFSET(TH!K$1,SMALL(Dong13,ROWS($1:4)),))</f>
        <v/>
      </c>
      <c r="G19" s="677">
        <f t="shared" ca="1" si="0"/>
        <v>0</v>
      </c>
      <c r="H19" s="677">
        <f t="shared" ca="1" si="0"/>
        <v>0</v>
      </c>
      <c r="I19" s="677" t="str">
        <f t="shared" ca="1" si="0"/>
        <v/>
      </c>
      <c r="J19" s="677" t="str">
        <f t="shared" ca="1" si="0"/>
        <v/>
      </c>
      <c r="K19" s="677" t="str">
        <f t="shared" ca="1" si="1"/>
        <v/>
      </c>
      <c r="L19" s="677" t="str">
        <f t="shared" ca="1" si="1"/>
        <v/>
      </c>
    </row>
    <row r="20" spans="1:12" ht="21.75" customHeight="1">
      <c r="A20" s="675" t="str">
        <f ca="1">IF(ROWS($1:5)&gt;COUNT(Dong13),"",OFFSET(TH!C$1,SMALL(Dong13,ROWS($1:5)),))</f>
        <v/>
      </c>
      <c r="B20" s="675" t="str">
        <f ca="1">IF(ROWS($1:5)&gt;COUNT(Dong13),"",OFFSET(TH!D$1,SMALL(Dong13,ROWS($1:5)),))</f>
        <v/>
      </c>
      <c r="C20" s="675" t="str">
        <f ca="1">IF(ROWS($1:5)&gt;COUNT(Dong13),"",OFFSET(TH!E$1,SMALL(Dong13,ROWS($1:5)),))</f>
        <v/>
      </c>
      <c r="D20" s="676" t="str">
        <f ca="1">IF(ROWS($1:5)&gt;COUNT(Dong13),"",OFFSET(TH!F$1,SMALL(Dong13,ROWS($1:5)),))</f>
        <v/>
      </c>
      <c r="E20" s="675" t="str">
        <f ca="1">IF(ROWS($1:5)&gt;COUNT(Dong13),"",OFFSET(TH!M$1,SMALL(Dong13,ROWS($1:5)),))</f>
        <v/>
      </c>
      <c r="F20" s="762" t="str">
        <f ca="1">IF(ROWS($1:5)&gt;COUNT(Dong13),"",OFFSET(TH!K$1,SMALL(Dong13,ROWS($1:5)),))</f>
        <v/>
      </c>
      <c r="G20" s="677">
        <f t="shared" ca="1" si="0"/>
        <v>0</v>
      </c>
      <c r="H20" s="677">
        <f t="shared" ca="1" si="0"/>
        <v>0</v>
      </c>
      <c r="I20" s="677" t="str">
        <f t="shared" ca="1" si="0"/>
        <v/>
      </c>
      <c r="J20" s="677" t="str">
        <f t="shared" ca="1" si="0"/>
        <v/>
      </c>
      <c r="K20" s="677" t="str">
        <f t="shared" ca="1" si="1"/>
        <v/>
      </c>
      <c r="L20" s="677" t="str">
        <f t="shared" ca="1" si="1"/>
        <v/>
      </c>
    </row>
    <row r="21" spans="1:12" ht="21.75" customHeight="1">
      <c r="A21" s="675" t="str">
        <f ca="1">IF(ROWS($1:6)&gt;COUNT(Dong13),"",OFFSET(TH!C$1,SMALL(Dong13,ROWS($1:6)),))</f>
        <v/>
      </c>
      <c r="B21" s="675" t="str">
        <f ca="1">IF(ROWS($1:6)&gt;COUNT(Dong13),"",OFFSET(TH!D$1,SMALL(Dong13,ROWS($1:6)),))</f>
        <v/>
      </c>
      <c r="C21" s="675" t="str">
        <f ca="1">IF(ROWS($1:6)&gt;COUNT(Dong13),"",OFFSET(TH!E$1,SMALL(Dong13,ROWS($1:6)),))</f>
        <v/>
      </c>
      <c r="D21" s="676" t="str">
        <f ca="1">IF(ROWS($1:6)&gt;COUNT(Dong13),"",OFFSET(TH!F$1,SMALL(Dong13,ROWS($1:6)),))</f>
        <v/>
      </c>
      <c r="E21" s="675" t="str">
        <f ca="1">IF(ROWS($1:6)&gt;COUNT(Dong13),"",OFFSET(TH!M$1,SMALL(Dong13,ROWS($1:6)),))</f>
        <v/>
      </c>
      <c r="F21" s="762" t="str">
        <f ca="1">IF(ROWS($1:6)&gt;COUNT(Dong13),"",OFFSET(TH!K$1,SMALL(Dong13,ROWS($1:6)),))</f>
        <v/>
      </c>
      <c r="G21" s="677">
        <f t="shared" ca="1" si="0"/>
        <v>0</v>
      </c>
      <c r="H21" s="677">
        <f t="shared" ca="1" si="0"/>
        <v>0</v>
      </c>
      <c r="I21" s="677" t="str">
        <f t="shared" ca="1" si="0"/>
        <v/>
      </c>
      <c r="J21" s="677" t="str">
        <f t="shared" ca="1" si="0"/>
        <v/>
      </c>
      <c r="K21" s="677" t="str">
        <f t="shared" ca="1" si="1"/>
        <v/>
      </c>
      <c r="L21" s="677" t="str">
        <f t="shared" ca="1" si="1"/>
        <v/>
      </c>
    </row>
    <row r="22" spans="1:12" ht="21.75" customHeight="1">
      <c r="A22" s="675" t="str">
        <f ca="1">IF(ROWS($1:7)&gt;COUNT(Dong13),"",OFFSET(TH!C$1,SMALL(Dong13,ROWS($1:7)),))</f>
        <v/>
      </c>
      <c r="B22" s="675" t="str">
        <f ca="1">IF(ROWS($1:7)&gt;COUNT(Dong13),"",OFFSET(TH!D$1,SMALL(Dong13,ROWS($1:7)),))</f>
        <v/>
      </c>
      <c r="C22" s="675" t="str">
        <f ca="1">IF(ROWS($1:7)&gt;COUNT(Dong13),"",OFFSET(TH!E$1,SMALL(Dong13,ROWS($1:7)),))</f>
        <v/>
      </c>
      <c r="D22" s="676" t="str">
        <f ca="1">IF(ROWS($1:7)&gt;COUNT(Dong13),"",OFFSET(TH!F$1,SMALL(Dong13,ROWS($1:7)),))</f>
        <v/>
      </c>
      <c r="E22" s="675" t="str">
        <f ca="1">IF(ROWS($1:7)&gt;COUNT(Dong13),"",OFFSET(TH!M$1,SMALL(Dong13,ROWS($1:7)),))</f>
        <v/>
      </c>
      <c r="F22" s="762" t="str">
        <f ca="1">IF(ROWS($1:7)&gt;COUNT(Dong13),"",OFFSET(TH!K$1,SMALL(Dong13,ROWS($1:7)),))</f>
        <v/>
      </c>
      <c r="G22" s="677">
        <f t="shared" ca="1" si="0"/>
        <v>0</v>
      </c>
      <c r="H22" s="677">
        <f t="shared" ca="1" si="0"/>
        <v>0</v>
      </c>
      <c r="I22" s="677" t="str">
        <f t="shared" ca="1" si="0"/>
        <v/>
      </c>
      <c r="J22" s="677" t="str">
        <f t="shared" ca="1" si="0"/>
        <v/>
      </c>
      <c r="K22" s="677" t="str">
        <f t="shared" ca="1" si="1"/>
        <v/>
      </c>
      <c r="L22" s="677" t="str">
        <f t="shared" ca="1" si="1"/>
        <v/>
      </c>
    </row>
    <row r="23" spans="1:12" ht="21.75" customHeight="1">
      <c r="A23" s="675" t="str">
        <f ca="1">IF(ROWS($1:8)&gt;COUNT(Dong13),"",OFFSET(TH!C$1,SMALL(Dong13,ROWS($1:8)),))</f>
        <v/>
      </c>
      <c r="B23" s="675" t="str">
        <f ca="1">IF(ROWS($1:8)&gt;COUNT(Dong13),"",OFFSET(TH!D$1,SMALL(Dong13,ROWS($1:8)),))</f>
        <v/>
      </c>
      <c r="C23" s="675" t="str">
        <f ca="1">IF(ROWS($1:8)&gt;COUNT(Dong13),"",OFFSET(TH!E$1,SMALL(Dong13,ROWS($1:8)),))</f>
        <v/>
      </c>
      <c r="D23" s="676" t="str">
        <f ca="1">IF(ROWS($1:8)&gt;COUNT(Dong13),"",OFFSET(TH!F$1,SMALL(Dong13,ROWS($1:8)),))</f>
        <v/>
      </c>
      <c r="E23" s="675" t="str">
        <f ca="1">IF(ROWS($1:8)&gt;COUNT(Dong13),"",OFFSET(TH!M$1,SMALL(Dong13,ROWS($1:8)),))</f>
        <v/>
      </c>
      <c r="F23" s="762" t="str">
        <f ca="1">IF(ROWS($1:8)&gt;COUNT(Dong13),"",OFFSET(TH!K$1,SMALL(Dong13,ROWS($1:8)),))</f>
        <v/>
      </c>
      <c r="G23" s="677">
        <f t="shared" ca="1" si="0"/>
        <v>0</v>
      </c>
      <c r="H23" s="677">
        <f t="shared" ca="1" si="0"/>
        <v>0</v>
      </c>
      <c r="I23" s="677" t="str">
        <f t="shared" ca="1" si="0"/>
        <v/>
      </c>
      <c r="J23" s="677" t="str">
        <f t="shared" ca="1" si="0"/>
        <v/>
      </c>
      <c r="K23" s="677" t="str">
        <f t="shared" ca="1" si="1"/>
        <v/>
      </c>
      <c r="L23" s="677" t="str">
        <f t="shared" ca="1" si="1"/>
        <v/>
      </c>
    </row>
    <row r="24" spans="1:12" ht="21.75" customHeight="1">
      <c r="A24" s="675" t="str">
        <f ca="1">IF(ROWS($1:9)&gt;COUNT(Dong13),"",OFFSET(TH!C$1,SMALL(Dong13,ROWS($1:9)),))</f>
        <v/>
      </c>
      <c r="B24" s="675" t="str">
        <f ca="1">IF(ROWS($1:9)&gt;COUNT(Dong13),"",OFFSET(TH!D$1,SMALL(Dong13,ROWS($1:9)),))</f>
        <v/>
      </c>
      <c r="C24" s="675" t="str">
        <f ca="1">IF(ROWS($1:9)&gt;COUNT(Dong13),"",OFFSET(TH!E$1,SMALL(Dong13,ROWS($1:9)),))</f>
        <v/>
      </c>
      <c r="D24" s="676" t="str">
        <f ca="1">IF(ROWS($1:9)&gt;COUNT(Dong13),"",OFFSET(TH!F$1,SMALL(Dong13,ROWS($1:9)),))</f>
        <v/>
      </c>
      <c r="E24" s="675" t="str">
        <f ca="1">IF(ROWS($1:9)&gt;COUNT(Dong13),"",OFFSET(TH!M$1,SMALL(Dong13,ROWS($1:9)),))</f>
        <v/>
      </c>
      <c r="F24" s="762" t="str">
        <f ca="1">IF(ROWS($1:9)&gt;COUNT(Dong13),"",OFFSET(TH!K$1,SMALL(Dong13,ROWS($1:9)),))</f>
        <v/>
      </c>
      <c r="G24" s="677">
        <f t="shared" ca="1" si="0"/>
        <v>0</v>
      </c>
      <c r="H24" s="677">
        <f t="shared" ca="1" si="0"/>
        <v>0</v>
      </c>
      <c r="I24" s="677" t="str">
        <f t="shared" ca="1" si="0"/>
        <v/>
      </c>
      <c r="J24" s="677" t="str">
        <f t="shared" ca="1" si="0"/>
        <v/>
      </c>
      <c r="K24" s="677" t="str">
        <f t="shared" ca="1" si="1"/>
        <v/>
      </c>
      <c r="L24" s="677" t="str">
        <f t="shared" ca="1" si="1"/>
        <v/>
      </c>
    </row>
    <row r="25" spans="1:12" ht="21.75" customHeight="1">
      <c r="A25" s="675" t="str">
        <f ca="1">IF(ROWS($1:10)&gt;COUNT(Dong13),"",OFFSET(TH!C$1,SMALL(Dong13,ROWS($1:10)),))</f>
        <v/>
      </c>
      <c r="B25" s="675" t="str">
        <f ca="1">IF(ROWS($1:10)&gt;COUNT(Dong13),"",OFFSET(TH!D$1,SMALL(Dong13,ROWS($1:10)),))</f>
        <v/>
      </c>
      <c r="C25" s="675" t="str">
        <f ca="1">IF(ROWS($1:10)&gt;COUNT(Dong13),"",OFFSET(TH!E$1,SMALL(Dong13,ROWS($1:10)),))</f>
        <v/>
      </c>
      <c r="D25" s="676" t="str">
        <f ca="1">IF(ROWS($1:10)&gt;COUNT(Dong13),"",OFFSET(TH!F$1,SMALL(Dong13,ROWS($1:10)),))</f>
        <v/>
      </c>
      <c r="E25" s="675" t="str">
        <f ca="1">IF(ROWS($1:10)&gt;COUNT(Dong13),"",OFFSET(TH!M$1,SMALL(Dong13,ROWS($1:10)),))</f>
        <v/>
      </c>
      <c r="F25" s="762" t="str">
        <f ca="1">IF(ROWS($1:10)&gt;COUNT(Dong13),"",OFFSET(TH!K$1,SMALL(Dong13,ROWS($1:10)),))</f>
        <v/>
      </c>
      <c r="G25" s="677">
        <f t="shared" ca="1" si="0"/>
        <v>0</v>
      </c>
      <c r="H25" s="677">
        <f t="shared" ca="1" si="0"/>
        <v>0</v>
      </c>
      <c r="I25" s="677" t="str">
        <f t="shared" ca="1" si="0"/>
        <v/>
      </c>
      <c r="J25" s="677" t="str">
        <f t="shared" ca="1" si="0"/>
        <v/>
      </c>
      <c r="K25" s="677" t="str">
        <f t="shared" ca="1" si="1"/>
        <v/>
      </c>
      <c r="L25" s="677" t="str">
        <f t="shared" ca="1" si="1"/>
        <v/>
      </c>
    </row>
    <row r="26" spans="1:12" ht="21.75" customHeight="1">
      <c r="A26" s="675"/>
      <c r="B26" s="678"/>
      <c r="C26" s="675"/>
      <c r="D26" s="679"/>
      <c r="E26" s="680"/>
      <c r="F26" s="681"/>
      <c r="G26" s="681"/>
      <c r="H26" s="681"/>
      <c r="I26" s="681"/>
      <c r="J26" s="681"/>
      <c r="K26" s="681"/>
      <c r="L26" s="681"/>
    </row>
    <row r="27" spans="1:12" ht="21.75" customHeight="1">
      <c r="A27" s="675"/>
      <c r="B27" s="678"/>
      <c r="C27" s="675"/>
      <c r="D27" s="673" t="s">
        <v>133</v>
      </c>
      <c r="E27" s="672" t="s">
        <v>19</v>
      </c>
      <c r="F27" s="674">
        <f t="shared" ref="F27:L27" ca="1" si="2">SUM(F15:F26)</f>
        <v>0</v>
      </c>
      <c r="G27" s="674">
        <f t="shared" ca="1" si="2"/>
        <v>0</v>
      </c>
      <c r="H27" s="674">
        <f t="shared" ca="1" si="2"/>
        <v>0</v>
      </c>
      <c r="I27" s="674">
        <f t="shared" ca="1" si="2"/>
        <v>0</v>
      </c>
      <c r="J27" s="674">
        <f t="shared" ca="1" si="2"/>
        <v>0</v>
      </c>
      <c r="K27" s="674">
        <f t="shared" ca="1" si="2"/>
        <v>0</v>
      </c>
      <c r="L27" s="674">
        <f t="shared" ca="1" si="2"/>
        <v>0</v>
      </c>
    </row>
    <row r="28" spans="1:12" ht="21.75" customHeight="1">
      <c r="A28" s="682"/>
      <c r="B28" s="680"/>
      <c r="C28" s="682"/>
      <c r="D28" s="683" t="s">
        <v>404</v>
      </c>
      <c r="E28" s="678"/>
      <c r="F28" s="674">
        <f ca="1">SUM(G28:L28)</f>
        <v>0</v>
      </c>
      <c r="G28" s="684">
        <f t="shared" ref="G28:L28" ca="1" si="3">G27</f>
        <v>0</v>
      </c>
      <c r="H28" s="684">
        <f t="shared" ca="1" si="3"/>
        <v>0</v>
      </c>
      <c r="I28" s="684">
        <f t="shared" ca="1" si="3"/>
        <v>0</v>
      </c>
      <c r="J28" s="684">
        <f t="shared" ca="1" si="3"/>
        <v>0</v>
      </c>
      <c r="K28" s="684">
        <f t="shared" ca="1" si="3"/>
        <v>0</v>
      </c>
      <c r="L28" s="684">
        <f t="shared" ca="1" si="3"/>
        <v>0</v>
      </c>
    </row>
    <row r="29" spans="1:12" ht="21.75" customHeight="1">
      <c r="A29" s="685"/>
      <c r="B29" s="685"/>
      <c r="C29" s="685"/>
      <c r="D29" s="686" t="s">
        <v>10</v>
      </c>
      <c r="E29" s="685" t="s">
        <v>19</v>
      </c>
      <c r="F29" s="687">
        <f t="shared" ref="F29:L29" ca="1" si="4">F15+F27-F28</f>
        <v>0</v>
      </c>
      <c r="G29" s="687">
        <f t="shared" ca="1" si="4"/>
        <v>0</v>
      </c>
      <c r="H29" s="687">
        <f t="shared" ca="1" si="4"/>
        <v>0</v>
      </c>
      <c r="I29" s="687">
        <f t="shared" ca="1" si="4"/>
        <v>0</v>
      </c>
      <c r="J29" s="687">
        <f t="shared" ca="1" si="4"/>
        <v>0</v>
      </c>
      <c r="K29" s="687">
        <f t="shared" ca="1" si="4"/>
        <v>0</v>
      </c>
      <c r="L29" s="687">
        <f t="shared" ca="1" si="4"/>
        <v>0</v>
      </c>
    </row>
    <row r="31" spans="1:12">
      <c r="B31" s="688"/>
      <c r="C31" s="668" t="s">
        <v>389</v>
      </c>
    </row>
    <row r="32" spans="1:12">
      <c r="C32" s="668" t="e">
        <f ca="1">"- Ngày mở sổ: "&amp;"01/"&amp;MONTH(A16)&amp;"/"&amp;YEAR(A16)</f>
        <v>#VALUE!</v>
      </c>
    </row>
    <row r="33" spans="2:12">
      <c r="E33" s="667"/>
      <c r="F33" s="667"/>
      <c r="G33" s="667"/>
      <c r="H33" s="667"/>
      <c r="I33" s="667"/>
      <c r="J33" s="117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72"/>
      <c r="L33" s="1172"/>
    </row>
    <row r="34" spans="2:12">
      <c r="B34" s="667"/>
      <c r="C34" s="758" t="s">
        <v>11</v>
      </c>
      <c r="D34" s="667"/>
      <c r="E34" s="667"/>
      <c r="F34" s="667"/>
      <c r="G34" s="667"/>
      <c r="H34" s="667"/>
      <c r="I34" s="667"/>
      <c r="J34" s="1172" t="s">
        <v>12</v>
      </c>
      <c r="K34" s="1172"/>
      <c r="L34" s="1172"/>
    </row>
    <row r="35" spans="2:12">
      <c r="B35" s="667"/>
      <c r="C35" s="758" t="s">
        <v>13</v>
      </c>
      <c r="D35" s="667"/>
      <c r="E35" s="667"/>
      <c r="F35" s="667"/>
      <c r="G35" s="667"/>
      <c r="H35" s="667"/>
      <c r="I35" s="667"/>
      <c r="J35" s="1170" t="s">
        <v>13</v>
      </c>
      <c r="K35" s="1170"/>
      <c r="L35" s="1170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2016-12-02T04:50:59Z</cp:lastPrinted>
  <dcterms:created xsi:type="dcterms:W3CDTF">1996-10-14T23:33:28Z</dcterms:created>
  <dcterms:modified xsi:type="dcterms:W3CDTF">2016-12-27T08:05:49Z</dcterms:modified>
</cp:coreProperties>
</file>